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01 SMART DELL\MIS\"/>
    </mc:Choice>
  </mc:AlternateContent>
  <xr:revisionPtr revIDLastSave="0" documentId="13_ncr:1_{E13443A6-86C8-4391-8D8E-28F05824D98F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Discussion Points " sheetId="1" state="hidden" r:id="rId1"/>
    <sheet name="Case 1" sheetId="2" state="hidden" r:id="rId2"/>
    <sheet name="revised sheet on 13.03.2024" sheetId="3" state="hidden" r:id="rId3"/>
    <sheet name="E Slip Changes Option 1" sheetId="4" r:id="rId4"/>
    <sheet name="E Slip Option 2" sheetId="5" r:id="rId5"/>
    <sheet name="E Slip Option 3" sheetId="6" r:id="rId6"/>
    <sheet name="Fourth Tranche Finance" sheetId="7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F21" i="7"/>
  <c r="E21" i="7"/>
  <c r="F22" i="7"/>
  <c r="F20" i="7"/>
  <c r="E20" i="7"/>
  <c r="F19" i="7"/>
  <c r="E19" i="7"/>
  <c r="F15" i="7"/>
  <c r="G15" i="7" s="1"/>
  <c r="F13" i="7"/>
  <c r="E13" i="7"/>
  <c r="F12" i="7"/>
  <c r="E12" i="7"/>
  <c r="F8" i="7"/>
  <c r="E8" i="7"/>
  <c r="F7" i="7"/>
  <c r="E7" i="7"/>
  <c r="F6" i="7"/>
  <c r="E6" i="7"/>
  <c r="F5" i="7"/>
  <c r="E5" i="7"/>
  <c r="E7" i="6"/>
  <c r="D7" i="6"/>
  <c r="C7" i="6"/>
  <c r="H9" i="6" s="1"/>
  <c r="B7" i="6"/>
  <c r="E6" i="6"/>
  <c r="E8" i="6" s="1"/>
  <c r="E5" i="6"/>
  <c r="H4" i="6"/>
  <c r="E4" i="6"/>
  <c r="D6" i="5"/>
  <c r="C6" i="5"/>
  <c r="H8" i="5" s="1"/>
  <c r="E5" i="5"/>
  <c r="E7" i="5" s="1"/>
  <c r="E4" i="5"/>
  <c r="H3" i="5"/>
  <c r="E3" i="5"/>
  <c r="D6" i="4"/>
  <c r="C6" i="4"/>
  <c r="E5" i="4"/>
  <c r="E4" i="4"/>
  <c r="E3" i="4"/>
  <c r="E6" i="4" s="1"/>
  <c r="E6" i="3"/>
  <c r="D6" i="3"/>
  <c r="D7" i="3" s="1"/>
  <c r="J5" i="3"/>
  <c r="K5" i="3" s="1"/>
  <c r="I5" i="3"/>
  <c r="F5" i="3"/>
  <c r="F4" i="3"/>
  <c r="E3" i="3"/>
  <c r="F3" i="3" s="1"/>
  <c r="F6" i="3" s="1"/>
  <c r="F7" i="3" s="1"/>
  <c r="F11" i="3" s="1"/>
  <c r="D10" i="3" s="1"/>
  <c r="D39" i="2"/>
  <c r="D28" i="2"/>
  <c r="E28" i="2" s="1"/>
  <c r="D34" i="2" s="1"/>
  <c r="H34" i="2" s="1"/>
  <c r="H26" i="2"/>
  <c r="I26" i="2" s="1"/>
  <c r="J26" i="2" s="1"/>
  <c r="K26" i="2" s="1"/>
  <c r="H25" i="2"/>
  <c r="C17" i="2"/>
  <c r="D17" i="2" s="1"/>
  <c r="E17" i="2" s="1"/>
  <c r="E6" i="2"/>
  <c r="F6" i="2" s="1"/>
  <c r="D6" i="2"/>
  <c r="D10" i="2" s="1"/>
  <c r="C6" i="2"/>
  <c r="G6" i="7" l="1"/>
  <c r="G8" i="7"/>
  <c r="G12" i="7"/>
  <c r="I12" i="7"/>
  <c r="H12" i="7"/>
  <c r="H13" i="7" s="1"/>
  <c r="G7" i="7"/>
  <c r="G20" i="7"/>
  <c r="G19" i="7"/>
  <c r="G5" i="7"/>
  <c r="I19" i="7"/>
  <c r="I13" i="7"/>
  <c r="H19" i="7"/>
  <c r="H20" i="7" s="1"/>
  <c r="I20" i="7"/>
  <c r="G13" i="7"/>
  <c r="J26" i="5"/>
  <c r="B27" i="5" s="1"/>
  <c r="J25" i="5"/>
  <c r="B26" i="5" s="1"/>
  <c r="J20" i="5"/>
  <c r="B21" i="5" s="1"/>
  <c r="E7" i="4"/>
  <c r="B15" i="4" s="1"/>
  <c r="H3" i="4" s="1"/>
  <c r="H8" i="4" s="1"/>
  <c r="I4" i="6"/>
  <c r="I9" i="6" s="1"/>
  <c r="J25" i="6" s="1"/>
  <c r="B26" i="6" s="1"/>
  <c r="I3" i="5"/>
  <c r="I8" i="5" s="1"/>
  <c r="J18" i="5" s="1"/>
  <c r="B22" i="5" s="1"/>
  <c r="E6" i="5"/>
  <c r="D7" i="2"/>
  <c r="D8" i="2"/>
  <c r="J27" i="6"/>
  <c r="B28" i="6" s="1"/>
  <c r="J26" i="6"/>
  <c r="B27" i="6" s="1"/>
  <c r="J21" i="6"/>
  <c r="B22" i="6" s="1"/>
  <c r="J20" i="6"/>
  <c r="I3" i="4"/>
  <c r="I8" i="4" s="1"/>
  <c r="D11" i="2"/>
  <c r="D12" i="2" s="1"/>
  <c r="I5" i="2"/>
  <c r="D11" i="3"/>
  <c r="D12" i="3" s="1"/>
  <c r="F11" i="2"/>
  <c r="F7" i="2"/>
  <c r="H5" i="2" s="1"/>
  <c r="J5" i="2" s="1"/>
  <c r="E23" i="2"/>
  <c r="C23" i="2"/>
  <c r="C19" i="2"/>
  <c r="E7" i="2"/>
  <c r="J19" i="5"/>
  <c r="B20" i="5" s="1"/>
  <c r="C30" i="2"/>
  <c r="D9" i="2"/>
  <c r="J12" i="7" l="1"/>
  <c r="E14" i="7"/>
  <c r="F14" i="7" s="1"/>
  <c r="I14" i="7" s="1"/>
  <c r="I15" i="7" s="1"/>
  <c r="J15" i="7" s="1"/>
  <c r="J13" i="7"/>
  <c r="H21" i="7"/>
  <c r="E22" i="7" s="1"/>
  <c r="G22" i="7" s="1"/>
  <c r="J19" i="7"/>
  <c r="J24" i="5"/>
  <c r="B25" i="5" s="1"/>
  <c r="J19" i="6"/>
  <c r="B23" i="6" s="1"/>
  <c r="F12" i="2"/>
  <c r="F28" i="2"/>
  <c r="F17" i="2"/>
  <c r="J26" i="4"/>
  <c r="B27" i="4" s="1"/>
  <c r="J25" i="4"/>
  <c r="B26" i="4" s="1"/>
  <c r="J20" i="4"/>
  <c r="B21" i="4" s="1"/>
  <c r="J19" i="4"/>
  <c r="B20" i="4" s="1"/>
  <c r="J22" i="6"/>
  <c r="B21" i="6"/>
  <c r="F10" i="3"/>
  <c r="F13" i="3"/>
  <c r="G23" i="2"/>
  <c r="H30" i="2"/>
  <c r="J24" i="4"/>
  <c r="B25" i="4" s="1"/>
  <c r="J18" i="4"/>
  <c r="B22" i="4" s="1"/>
  <c r="G14" i="7" l="1"/>
  <c r="H14" i="7"/>
  <c r="J14" i="7" s="1"/>
  <c r="H22" i="7"/>
  <c r="J20" i="7"/>
  <c r="E23" i="7" l="1"/>
  <c r="G23" i="7" s="1"/>
  <c r="I21" i="7"/>
  <c r="I22" i="7" s="1"/>
  <c r="I23" i="7" s="1"/>
  <c r="G21" i="7"/>
  <c r="H23" i="7" l="1"/>
  <c r="J23" i="7" s="1"/>
  <c r="J21" i="7"/>
  <c r="J22" i="7"/>
</calcChain>
</file>

<file path=xl/sharedStrings.xml><?xml version="1.0" encoding="utf-8"?>
<sst xmlns="http://schemas.openxmlformats.org/spreadsheetml/2006/main" count="294" uniqueCount="147">
  <si>
    <t>23.02.2024</t>
  </si>
  <si>
    <t xml:space="preserve">E Slip - Discussion Points </t>
  </si>
  <si>
    <t xml:space="preserve">Sr No </t>
  </si>
  <si>
    <t xml:space="preserve">Points Discussed </t>
  </si>
  <si>
    <t xml:space="preserve">Comments </t>
  </si>
  <si>
    <t xml:space="preserve">Remark </t>
  </si>
  <si>
    <t xml:space="preserve">Net amount Deduction </t>
  </si>
  <si>
    <t xml:space="preserve">Income Tax </t>
  </si>
  <si>
    <t>is it extra from contract amount please confirm -</t>
  </si>
  <si>
    <t xml:space="preserve">Policy to give Other deduction payment by Bank to CBO </t>
  </si>
  <si>
    <t xml:space="preserve">TDS Amount </t>
  </si>
  <si>
    <t xml:space="preserve">Labor CSS </t>
  </si>
  <si>
    <t xml:space="preserve">Royalty charges </t>
  </si>
  <si>
    <t xml:space="preserve">is it extra from contract amount please confirm </t>
  </si>
  <si>
    <t xml:space="preserve">Labor Insurance </t>
  </si>
  <si>
    <t xml:space="preserve">Retention </t>
  </si>
  <si>
    <t xml:space="preserve">GST Cost - Which scenario is to be consider for Validation  ie on PCMU Grant </t>
  </si>
  <si>
    <t>GST Amount pls confirm following  Scenario</t>
  </si>
  <si>
    <t xml:space="preserve">As per existing Practise Civil tender with GST and Other Tender </t>
  </si>
  <si>
    <t xml:space="preserve">PCMU -Cost norms approved cost + 18 % GST </t>
  </si>
  <si>
    <t xml:space="preserve">PCMU -Cost norms approved cost * 60 % + 18 GST </t>
  </si>
  <si>
    <t xml:space="preserve">Total  Tender cost +18 % GST </t>
  </si>
  <si>
    <t xml:space="preserve">Tender cost - Validation with Award Cost </t>
  </si>
  <si>
    <t xml:space="preserve">1.Proposed Changes is we can make validation that Total cost is not greeter than Tender cost + 18 %  GST 
2.In case of Works - 18  %  GST is included </t>
  </si>
  <si>
    <t xml:space="preserve">Cheque No -6 Digit Data entry </t>
  </si>
  <si>
    <t xml:space="preserve">please confirm if it is Mandatory or Non Mandatory  as some of the CBO Don’t have Cheque Book </t>
  </si>
  <si>
    <t xml:space="preserve">Share from Grant - PCMU </t>
  </si>
  <si>
    <r>
      <rPr>
        <sz val="11"/>
        <color indexed="8"/>
        <rFont val="Calibri"/>
        <family val="2"/>
        <charset val="134"/>
      </rPr>
      <t xml:space="preserve">As per existing approved wireframe it is on Net payable amount 60 % of Total cost which is Mentioned in Row No 27 ( Award cost with GST ) - </t>
    </r>
    <r>
      <rPr>
        <b/>
        <sz val="11"/>
        <color indexed="8"/>
        <rFont val="Calibri"/>
        <family val="2"/>
        <charset val="134"/>
      </rPr>
      <t xml:space="preserve">Pls confirm Deduction Share on which account </t>
    </r>
  </si>
  <si>
    <t xml:space="preserve">Share from Grant - BC/ Loan </t>
  </si>
  <si>
    <r>
      <rPr>
        <sz val="11"/>
        <color indexed="8"/>
        <rFont val="Calibri"/>
        <family val="2"/>
        <charset val="134"/>
      </rPr>
      <t xml:space="preserve">As per existing approved wireframe it is on Net payable amount 40 % of Total cost which is Mentioned in Row No 27 ( Award cost with GST ) - </t>
    </r>
    <r>
      <rPr>
        <b/>
        <sz val="11"/>
        <color indexed="8"/>
        <rFont val="Calibri"/>
        <family val="2"/>
        <charset val="134"/>
      </rPr>
      <t xml:space="preserve">Pls confirm deduction share on which account </t>
    </r>
  </si>
  <si>
    <t xml:space="preserve">Share from Grant - PCMU - Validation </t>
  </si>
  <si>
    <t>Pls confirm Following Scenario</t>
  </si>
  <si>
    <t xml:space="preserve">1. PCMU Approved Cost +18 % </t>
  </si>
  <si>
    <t xml:space="preserve">2. PCMU Approved Cost * 60% +18 % </t>
  </si>
  <si>
    <t xml:space="preserve">1. Tender Cost  +18 % </t>
  </si>
  <si>
    <t>1. Tender Award cost +18 %</t>
  </si>
  <si>
    <t xml:space="preserve">Other Points </t>
  </si>
  <si>
    <t xml:space="preserve">Policy decision to how to make payment by Bank to CBO for Other Deduction </t>
  </si>
  <si>
    <t xml:space="preserve">Loan case - Signature authority </t>
  </si>
  <si>
    <t xml:space="preserve">As per existing authority - TWO CBO Director will sign </t>
  </si>
  <si>
    <t xml:space="preserve">Pls confirm if DIU Nodal officer sign is required or Not </t>
  </si>
  <si>
    <t xml:space="preserve">Pls confirm if DIU Nodal officer sign is required or Not  for other PIU than PIU Agree </t>
  </si>
  <si>
    <t xml:space="preserve">System approval flow required or Not required </t>
  </si>
  <si>
    <t xml:space="preserve">NO Loan case - Signature authority </t>
  </si>
  <si>
    <t xml:space="preserve">As per existing authority - One CBO Director will sign and Other DIU Nodal officer  </t>
  </si>
  <si>
    <t xml:space="preserve">Componenet Name </t>
  </si>
  <si>
    <t xml:space="preserve">Approved Cost </t>
  </si>
  <si>
    <t xml:space="preserve">Applied cost </t>
  </si>
  <si>
    <t xml:space="preserve">Extra cost </t>
  </si>
  <si>
    <t xml:space="preserve">Tender cost </t>
  </si>
  <si>
    <t>Abc</t>
  </si>
  <si>
    <t>xyz</t>
  </si>
  <si>
    <t>TYU</t>
  </si>
  <si>
    <t>GST 18 % EXTRA</t>
  </si>
  <si>
    <t xml:space="preserve">60 % of GRANT AMMOUNT </t>
  </si>
  <si>
    <t xml:space="preserve"> on Grant total ammount </t>
  </si>
  <si>
    <t xml:space="preserve">Tender Cost </t>
  </si>
  <si>
    <t xml:space="preserve">Total cost </t>
  </si>
  <si>
    <t xml:space="preserve"> on 60 % </t>
  </si>
  <si>
    <t xml:space="preserve">Tender cost + 18 % GST </t>
  </si>
  <si>
    <t xml:space="preserve">e Slip 1 </t>
  </si>
  <si>
    <t xml:space="preserve">Balance ammount </t>
  </si>
  <si>
    <t xml:space="preserve">Basci </t>
  </si>
  <si>
    <t>GST 18 %</t>
  </si>
  <si>
    <t xml:space="preserve">Total </t>
  </si>
  <si>
    <t xml:space="preserve">Balance </t>
  </si>
  <si>
    <t>e Slip 1- Deduction</t>
  </si>
  <si>
    <t xml:space="preserve">net Paybale </t>
  </si>
  <si>
    <t>( Total - Deduction )</t>
  </si>
  <si>
    <t xml:space="preserve">PCMU Grant Contrubution </t>
  </si>
  <si>
    <t xml:space="preserve"> BC /LOAN Contrubution </t>
  </si>
  <si>
    <t>Total</t>
  </si>
  <si>
    <t xml:space="preserve">e Slip 2 </t>
  </si>
  <si>
    <t>e Slip 2- Deduction</t>
  </si>
  <si>
    <t xml:space="preserve">What abaout e slip deduction </t>
  </si>
  <si>
    <t>Tender cost- as per row no 27</t>
  </si>
  <si>
    <t>Extra cost 1</t>
  </si>
  <si>
    <t>xcv</t>
  </si>
  <si>
    <t>rtu</t>
  </si>
  <si>
    <t>Bill amount</t>
  </si>
  <si>
    <t>Grants</t>
  </si>
  <si>
    <t>Extra Contribution</t>
  </si>
  <si>
    <t>CBO Contribution</t>
  </si>
  <si>
    <t>Back end Calculations</t>
  </si>
  <si>
    <t xml:space="preserve">extra  cost </t>
  </si>
  <si>
    <t xml:space="preserve">Total ammount </t>
  </si>
  <si>
    <t xml:space="preserve">Tender Cost= </t>
  </si>
  <si>
    <t>Logic for Extra cost 
If Tender cost&gt; Applied cost</t>
  </si>
  <si>
    <t>Difference between both</t>
  </si>
  <si>
    <t>If Tender cost&lt;= Applied cost</t>
  </si>
  <si>
    <t xml:space="preserve">Total Tender Cost= </t>
  </si>
  <si>
    <t>Applied Cost percentage=</t>
  </si>
  <si>
    <t>Extra cost percentage</t>
  </si>
  <si>
    <t>Formula= Applied Cost/Tender Cost * 100</t>
  </si>
  <si>
    <t>Formula= Extra Cost/Tender Cost * 100</t>
  </si>
  <si>
    <t xml:space="preserve"> </t>
  </si>
  <si>
    <t>Procrument Section Row no. 27  Approved Tender cost with GST</t>
  </si>
  <si>
    <t xml:space="preserve">E Slip AMMOUNT= </t>
  </si>
  <si>
    <t xml:space="preserve">Deduction= </t>
  </si>
  <si>
    <t>Formula= (E Slip Amount- Duduction)* Extra count percentage %</t>
  </si>
  <si>
    <t xml:space="preserve">Extra Contrubution </t>
  </si>
  <si>
    <t xml:space="preserve">Brake up of Payment - Vendor </t>
  </si>
  <si>
    <t>Formula= (E Slip Amount- Duduction)* Applied Cost percentage % * 60%</t>
  </si>
  <si>
    <t xml:space="preserve">Grant from CBO </t>
  </si>
  <si>
    <t>Grants from PCMU=</t>
  </si>
  <si>
    <t>Formula= (E Slip Amount- Duduction)* Applied Cost percentage % * 40%</t>
  </si>
  <si>
    <t>CBO BC Loan=</t>
  </si>
  <si>
    <t>Extra CBO Contrubution=</t>
  </si>
  <si>
    <t xml:space="preserve">Brake up of Payment - Deduction </t>
  </si>
  <si>
    <t>Formula= (Duduction)* Extra count percentage %</t>
  </si>
  <si>
    <t>Formula= (Duduction)* Applied Cost percentage % * 60%</t>
  </si>
  <si>
    <t>Formula= ( Duduction)* Applied Cost percentage % * 40%</t>
  </si>
  <si>
    <r>
      <t xml:space="preserve">Logic for the Percentage If Tender cost&lt;= Applied cost,  Take value </t>
    </r>
    <r>
      <rPr>
        <b/>
        <sz val="11"/>
        <color indexed="8"/>
        <rFont val="Calibri"/>
        <family val="2"/>
        <charset val="134"/>
      </rPr>
      <t>100</t>
    </r>
    <r>
      <rPr>
        <sz val="11"/>
        <color indexed="8"/>
        <rFont val="Calibri"/>
        <family val="2"/>
        <charset val="134"/>
      </rPr>
      <t xml:space="preserve">           </t>
    </r>
  </si>
  <si>
    <r>
      <t xml:space="preserve">Logic for the Percentage, If Tender cost&lt;= Applied cost,  Take value </t>
    </r>
    <r>
      <rPr>
        <b/>
        <sz val="11"/>
        <color indexed="8"/>
        <rFont val="Calibri"/>
        <family val="2"/>
        <charset val="134"/>
      </rPr>
      <t>100</t>
    </r>
    <r>
      <rPr>
        <sz val="11"/>
        <color indexed="8"/>
        <rFont val="Calibri"/>
        <family val="2"/>
        <charset val="134"/>
      </rPr>
      <t xml:space="preserve">           </t>
    </r>
  </si>
  <si>
    <t>Tranche 1</t>
  </si>
  <si>
    <t>Tranche 2</t>
  </si>
  <si>
    <t>Tranche 3</t>
  </si>
  <si>
    <t>Tranche 4</t>
  </si>
  <si>
    <t>Own Contribution</t>
  </si>
  <si>
    <t>Status</t>
  </si>
  <si>
    <t>Released</t>
  </si>
  <si>
    <t>E-Pay slip</t>
  </si>
  <si>
    <t>Grants Balance available</t>
  </si>
  <si>
    <t>Slip No.</t>
  </si>
  <si>
    <t>Grants payable</t>
  </si>
  <si>
    <t>Situation 1</t>
  </si>
  <si>
    <t>Situation 2</t>
  </si>
  <si>
    <t>Number of tranche</t>
  </si>
  <si>
    <t>Project Cost</t>
  </si>
  <si>
    <t>Vendor payment in case from Fourth Tranche.</t>
  </si>
  <si>
    <t>Fourth Tranche release conditions</t>
  </si>
  <si>
    <t>The CBO audit report is to be attached alongiwth the compliance.</t>
  </si>
  <si>
    <t>The approval of respective PIU is required to confirm that amount mentioned as fourth tranche is eligible and no audit para related to it is non-complied and can be released  to CBO</t>
  </si>
  <si>
    <t>Project Completion report is to be uploaded.</t>
  </si>
  <si>
    <t>Sr.no</t>
  </si>
  <si>
    <t>Pre requisites</t>
  </si>
  <si>
    <t>Corresponding check list of documents</t>
  </si>
  <si>
    <t>Audit by the CA appointed by the Project.</t>
  </si>
  <si>
    <t>1) Audit report and Audited UC by CA appointed by the Project</t>
  </si>
  <si>
    <t>2) CBO attested copies of invoices for expenditure.</t>
  </si>
  <si>
    <t>Field visit by the technical team of the Project.</t>
  </si>
  <si>
    <t>Field visit report along with geo – tagged photographs</t>
  </si>
  <si>
    <t>Demand from CBO</t>
  </si>
  <si>
    <t>Copy of demand letter by CBO</t>
  </si>
  <si>
    <t>Recommendation by respective PIU</t>
  </si>
  <si>
    <t>Copy of recommendation letter by respective PIU</t>
  </si>
  <si>
    <t>As per FMM the specified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</si>
</sst>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10"/>
      <name val="Calibri"/>
      <family val="2"/>
      <charset val="134"/>
    </font>
    <font>
      <sz val="11"/>
      <color indexed="10"/>
      <name val="Calibri"/>
      <family val="2"/>
      <charset val="134"/>
    </font>
    <font>
      <b/>
      <u/>
      <sz val="20"/>
      <color indexed="8"/>
      <name val="Calibri"/>
      <family val="2"/>
      <charset val="134"/>
    </font>
    <font>
      <b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/>
    <xf numFmtId="164" fontId="0" fillId="0" borderId="2" xfId="0" applyNumberFormat="1" applyBorder="1" applyAlignment="1"/>
    <xf numFmtId="164" fontId="0" fillId="0" borderId="3" xfId="0" applyNumberFormat="1" applyBorder="1" applyAlignment="1"/>
    <xf numFmtId="164" fontId="0" fillId="0" borderId="0" xfId="0" applyNumberFormat="1" applyAlignment="1"/>
    <xf numFmtId="0" fontId="0" fillId="2" borderId="6" xfId="0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0" borderId="7" xfId="0" applyBorder="1" applyAlignment="1"/>
    <xf numFmtId="0" fontId="1" fillId="3" borderId="2" xfId="0" applyFont="1" applyFill="1" applyBorder="1" applyAlignment="1">
      <alignment horizontal="right"/>
    </xf>
    <xf numFmtId="164" fontId="0" fillId="3" borderId="2" xfId="0" applyNumberFormat="1" applyFill="1" applyBorder="1" applyAlignment="1"/>
    <xf numFmtId="164" fontId="0" fillId="3" borderId="3" xfId="0" applyNumberFormat="1" applyFill="1" applyBorder="1" applyAlignment="1"/>
    <xf numFmtId="0" fontId="1" fillId="4" borderId="3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5" borderId="6" xfId="0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/>
    <xf numFmtId="0" fontId="0" fillId="2" borderId="8" xfId="0" applyFill="1" applyBorder="1" applyAlignment="1">
      <alignment wrapText="1"/>
    </xf>
    <xf numFmtId="0" fontId="0" fillId="2" borderId="9" xfId="0" applyFill="1" applyBorder="1" applyAlignment="1"/>
    <xf numFmtId="0" fontId="0" fillId="7" borderId="1" xfId="0" applyFill="1" applyBorder="1" applyAlignment="1">
      <alignment horizontal="right"/>
    </xf>
    <xf numFmtId="0" fontId="0" fillId="7" borderId="10" xfId="0" applyFill="1" applyBorder="1" applyAlignment="1">
      <alignment horizontal="left"/>
    </xf>
    <xf numFmtId="0" fontId="0" fillId="8" borderId="8" xfId="0" applyFill="1" applyBorder="1" applyAlignment="1">
      <alignment horizontal="right"/>
    </xf>
    <xf numFmtId="0" fontId="0" fillId="8" borderId="11" xfId="0" applyFill="1" applyBorder="1" applyAlignment="1">
      <alignment horizontal="lef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1" fillId="0" borderId="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10" borderId="2" xfId="0" applyFill="1" applyBorder="1" applyAlignment="1"/>
    <xf numFmtId="0" fontId="0" fillId="6" borderId="16" xfId="0" applyFill="1" applyBorder="1" applyAlignment="1">
      <alignment wrapText="1"/>
    </xf>
    <xf numFmtId="0" fontId="0" fillId="6" borderId="17" xfId="0" applyFill="1" applyBorder="1" applyAlignment="1">
      <alignment wrapText="1"/>
    </xf>
    <xf numFmtId="0" fontId="0" fillId="6" borderId="18" xfId="0" applyFill="1" applyBorder="1" applyAlignment="1"/>
    <xf numFmtId="0" fontId="0" fillId="0" borderId="15" xfId="0" applyBorder="1" applyAlignment="1"/>
    <xf numFmtId="0" fontId="0" fillId="11" borderId="2" xfId="0" applyFill="1" applyBorder="1" applyAlignment="1"/>
    <xf numFmtId="49" fontId="0" fillId="11" borderId="2" xfId="0" applyNumberFormat="1" applyFill="1" applyBorder="1" applyAlignme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0" borderId="19" xfId="0" applyBorder="1" applyAlignme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21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6" borderId="2" xfId="0" applyFill="1" applyBorder="1" applyAlignment="1">
      <alignment wrapText="1"/>
    </xf>
    <xf numFmtId="0" fontId="0" fillId="6" borderId="17" xfId="0" applyFill="1" applyBorder="1" applyAlignment="1"/>
    <xf numFmtId="0" fontId="0" fillId="0" borderId="17" xfId="0" applyBorder="1" applyAlignment="1"/>
    <xf numFmtId="1" fontId="0" fillId="0" borderId="2" xfId="0" applyNumberFormat="1" applyBorder="1" applyAlignment="1">
      <alignment horizontal="right"/>
    </xf>
    <xf numFmtId="0" fontId="0" fillId="0" borderId="25" xfId="0" applyBorder="1" applyAlignmen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/>
    <xf numFmtId="0" fontId="2" fillId="0" borderId="0" xfId="0" applyFont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/>
    <xf numFmtId="0" fontId="0" fillId="5" borderId="3" xfId="0" applyFill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6" borderId="28" xfId="0" applyFill="1" applyBorder="1" applyAlignment="1">
      <alignment wrapText="1"/>
    </xf>
    <xf numFmtId="0" fontId="0" fillId="6" borderId="28" xfId="0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0" fillId="2" borderId="0" xfId="0" applyFill="1" applyAlignment="1"/>
    <xf numFmtId="0" fontId="1" fillId="0" borderId="2" xfId="0" applyFont="1" applyBorder="1" applyAlignment="1">
      <alignment horizontal="center"/>
    </xf>
    <xf numFmtId="0" fontId="1" fillId="2" borderId="0" xfId="0" applyFont="1" applyFill="1" applyAlignment="1"/>
    <xf numFmtId="0" fontId="0" fillId="12" borderId="0" xfId="0" applyFill="1" applyAlignment="1"/>
    <xf numFmtId="0" fontId="1" fillId="13" borderId="0" xfId="0" applyFont="1" applyFill="1" applyAlignment="1"/>
    <xf numFmtId="0" fontId="0" fillId="7" borderId="0" xfId="0" applyFill="1" applyAlignment="1"/>
    <xf numFmtId="0" fontId="0" fillId="14" borderId="0" xfId="0" applyFill="1" applyAlignment="1"/>
    <xf numFmtId="0" fontId="0" fillId="5" borderId="2" xfId="0" applyFill="1" applyBorder="1" applyAlignment="1">
      <alignment vertical="center" wrapText="1"/>
    </xf>
    <xf numFmtId="9" fontId="0" fillId="5" borderId="2" xfId="0" applyNumberFormat="1" applyFill="1" applyBorder="1">
      <alignment vertical="center"/>
    </xf>
    <xf numFmtId="0" fontId="0" fillId="5" borderId="2" xfId="0" applyFill="1" applyBorder="1">
      <alignment vertical="center"/>
    </xf>
    <xf numFmtId="0" fontId="0" fillId="5" borderId="2" xfId="0" applyFill="1" applyBorder="1" applyAlignment="1"/>
    <xf numFmtId="0" fontId="0" fillId="7" borderId="2" xfId="0" applyFill="1" applyBorder="1" applyAlignment="1"/>
    <xf numFmtId="0" fontId="0" fillId="14" borderId="2" xfId="0" applyFill="1" applyBorder="1" applyAlignment="1"/>
    <xf numFmtId="0" fontId="0" fillId="2" borderId="2" xfId="0" applyFill="1" applyBorder="1" applyAlignment="1"/>
    <xf numFmtId="0" fontId="1" fillId="5" borderId="2" xfId="0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1" fillId="14" borderId="2" xfId="0" applyFont="1" applyFill="1" applyBorder="1" applyAlignment="1"/>
    <xf numFmtId="9" fontId="0" fillId="0" borderId="2" xfId="0" applyNumberFormat="1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/>
    <xf numFmtId="0" fontId="0" fillId="6" borderId="29" xfId="0" applyFill="1" applyBorder="1" applyAlignment="1"/>
    <xf numFmtId="0" fontId="0" fillId="6" borderId="6" xfId="0" applyFill="1" applyBorder="1" applyAlignment="1">
      <alignment horizontal="center"/>
    </xf>
    <xf numFmtId="0" fontId="0" fillId="6" borderId="2" xfId="0" applyFill="1" applyBorder="1" applyAlignment="1"/>
    <xf numFmtId="0" fontId="0" fillId="6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/>
    <xf numFmtId="0" fontId="0" fillId="0" borderId="32" xfId="0" applyBorder="1" applyAlignment="1"/>
    <xf numFmtId="0" fontId="0" fillId="0" borderId="28" xfId="0" applyBorder="1" applyAlignment="1"/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33" xfId="0" applyBorder="1" applyAlignment="1"/>
    <xf numFmtId="0" fontId="0" fillId="0" borderId="34" xfId="0" applyBorder="1" applyAlignment="1"/>
    <xf numFmtId="0" fontId="0" fillId="0" borderId="16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5" fillId="0" borderId="3" xfId="0" applyFont="1" applyBorder="1" applyAlignment="1"/>
    <xf numFmtId="0" fontId="5" fillId="0" borderId="32" xfId="0" applyFont="1" applyBorder="1" applyAlignment="1"/>
    <xf numFmtId="0" fontId="5" fillId="0" borderId="28" xfId="0" applyFont="1" applyBorder="1" applyAlignment="1"/>
    <xf numFmtId="0" fontId="0" fillId="0" borderId="3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view="pageBreakPreview" zoomScale="124" zoomScaleNormal="100" zoomScaleSheetLayoutView="124" workbookViewId="0">
      <selection activeCell="B50" sqref="B50"/>
    </sheetView>
  </sheetViews>
  <sheetFormatPr defaultColWidth="9" defaultRowHeight="15"/>
  <cols>
    <col min="1" max="1" width="9.140625" style="96"/>
    <col min="2" max="2" width="35" style="97" customWidth="1"/>
    <col min="3" max="3" width="59.28515625" customWidth="1"/>
    <col min="4" max="4" width="24" style="96" customWidth="1"/>
  </cols>
  <sheetData>
    <row r="1" spans="1:4">
      <c r="D1" s="98" t="s">
        <v>0</v>
      </c>
    </row>
    <row r="2" spans="1:4" ht="26.25">
      <c r="A2" s="105" t="s">
        <v>1</v>
      </c>
      <c r="B2" s="105"/>
      <c r="C2" s="105"/>
      <c r="D2" s="105"/>
    </row>
    <row r="4" spans="1:4">
      <c r="A4" s="75" t="s">
        <v>2</v>
      </c>
      <c r="B4" s="99" t="s">
        <v>3</v>
      </c>
      <c r="C4" s="73" t="s">
        <v>4</v>
      </c>
      <c r="D4" s="75" t="s">
        <v>5</v>
      </c>
    </row>
    <row r="5" spans="1:4">
      <c r="A5" s="100">
        <v>1</v>
      </c>
      <c r="B5" s="99" t="s">
        <v>6</v>
      </c>
      <c r="C5" s="8"/>
      <c r="D5" s="100"/>
    </row>
    <row r="6" spans="1:4">
      <c r="A6" s="100"/>
      <c r="B6" s="101" t="s">
        <v>7</v>
      </c>
      <c r="C6" s="8" t="s">
        <v>8</v>
      </c>
      <c r="D6" s="107" t="s">
        <v>9</v>
      </c>
    </row>
    <row r="7" spans="1:4">
      <c r="A7" s="100"/>
      <c r="B7" s="101" t="s">
        <v>10</v>
      </c>
      <c r="C7" s="8"/>
      <c r="D7" s="108"/>
    </row>
    <row r="8" spans="1:4">
      <c r="A8" s="100"/>
      <c r="B8" s="101" t="s">
        <v>11</v>
      </c>
      <c r="C8" s="8"/>
      <c r="D8" s="108"/>
    </row>
    <row r="9" spans="1:4">
      <c r="A9" s="100"/>
      <c r="B9" s="101" t="s">
        <v>12</v>
      </c>
      <c r="C9" s="8" t="s">
        <v>13</v>
      </c>
      <c r="D9" s="108"/>
    </row>
    <row r="10" spans="1:4">
      <c r="A10" s="100"/>
      <c r="B10" s="101" t="s">
        <v>14</v>
      </c>
      <c r="C10" s="8"/>
      <c r="D10" s="108"/>
    </row>
    <row r="11" spans="1:4">
      <c r="A11" s="100"/>
      <c r="B11" s="101" t="s">
        <v>15</v>
      </c>
      <c r="C11" s="8"/>
      <c r="D11" s="109"/>
    </row>
    <row r="12" spans="1:4">
      <c r="A12" s="100"/>
      <c r="B12" s="101"/>
      <c r="C12" s="8"/>
      <c r="D12" s="100"/>
    </row>
    <row r="13" spans="1:4">
      <c r="A13" s="100">
        <v>2</v>
      </c>
      <c r="B13" s="106" t="s">
        <v>16</v>
      </c>
      <c r="C13" s="8" t="s">
        <v>17</v>
      </c>
      <c r="D13" s="110" t="s">
        <v>18</v>
      </c>
    </row>
    <row r="14" spans="1:4">
      <c r="A14" s="100"/>
      <c r="B14" s="106"/>
      <c r="C14" s="8" t="s">
        <v>19</v>
      </c>
      <c r="D14" s="111"/>
    </row>
    <row r="15" spans="1:4">
      <c r="A15" s="100"/>
      <c r="B15" s="106"/>
      <c r="C15" s="8" t="s">
        <v>20</v>
      </c>
      <c r="D15" s="111"/>
    </row>
    <row r="16" spans="1:4">
      <c r="A16" s="100"/>
      <c r="B16" s="106"/>
      <c r="C16" s="8" t="s">
        <v>21</v>
      </c>
      <c r="D16" s="112"/>
    </row>
    <row r="17" spans="1:4">
      <c r="A17" s="100"/>
      <c r="B17" s="101"/>
      <c r="C17" s="8"/>
      <c r="D17" s="100"/>
    </row>
    <row r="18" spans="1:4" s="1" customFormat="1" ht="45">
      <c r="A18" s="102">
        <v>3</v>
      </c>
      <c r="B18" s="103" t="s">
        <v>22</v>
      </c>
      <c r="C18" s="103" t="s">
        <v>23</v>
      </c>
      <c r="D18" s="102">
        <v>100000</v>
      </c>
    </row>
    <row r="19" spans="1:4">
      <c r="A19" s="100"/>
      <c r="B19" s="101"/>
      <c r="C19" s="8"/>
      <c r="D19" s="100"/>
    </row>
    <row r="20" spans="1:4" s="1" customFormat="1" ht="30">
      <c r="A20" s="102">
        <v>4</v>
      </c>
      <c r="B20" s="103" t="s">
        <v>24</v>
      </c>
      <c r="C20" s="103" t="s">
        <v>25</v>
      </c>
      <c r="D20" s="102"/>
    </row>
    <row r="21" spans="1:4">
      <c r="A21" s="100"/>
      <c r="B21" s="101"/>
      <c r="C21" s="8"/>
      <c r="D21" s="100"/>
    </row>
    <row r="22" spans="1:4">
      <c r="A22" s="100"/>
      <c r="B22" s="101"/>
      <c r="C22" s="8"/>
      <c r="D22" s="100"/>
    </row>
    <row r="23" spans="1:4" s="1" customFormat="1" ht="45">
      <c r="A23" s="102">
        <v>3</v>
      </c>
      <c r="B23" s="103" t="s">
        <v>26</v>
      </c>
      <c r="C23" s="104" t="s">
        <v>27</v>
      </c>
      <c r="D23" s="102"/>
    </row>
    <row r="24" spans="1:4" s="1" customFormat="1" ht="45">
      <c r="A24" s="102">
        <v>4</v>
      </c>
      <c r="B24" s="103" t="s">
        <v>28</v>
      </c>
      <c r="C24" s="104" t="s">
        <v>29</v>
      </c>
      <c r="D24" s="102"/>
    </row>
    <row r="25" spans="1:4">
      <c r="A25" s="100"/>
      <c r="B25" s="101"/>
      <c r="C25" s="8"/>
      <c r="D25" s="100"/>
    </row>
    <row r="26" spans="1:4">
      <c r="A26" s="100">
        <v>5</v>
      </c>
      <c r="B26" s="101" t="s">
        <v>30</v>
      </c>
      <c r="C26" s="8" t="s">
        <v>31</v>
      </c>
      <c r="D26" s="100"/>
    </row>
    <row r="27" spans="1:4">
      <c r="A27" s="100"/>
      <c r="B27" s="101"/>
      <c r="C27" s="8" t="s">
        <v>32</v>
      </c>
      <c r="D27" s="100"/>
    </row>
    <row r="28" spans="1:4">
      <c r="A28" s="100"/>
      <c r="B28" s="101"/>
      <c r="C28" s="8" t="s">
        <v>33</v>
      </c>
      <c r="D28" s="100"/>
    </row>
    <row r="29" spans="1:4">
      <c r="A29" s="100"/>
      <c r="B29" s="101"/>
      <c r="C29" s="8" t="s">
        <v>34</v>
      </c>
      <c r="D29" s="100"/>
    </row>
    <row r="30" spans="1:4">
      <c r="A30" s="100"/>
      <c r="B30" s="101"/>
      <c r="C30" s="8" t="s">
        <v>35</v>
      </c>
      <c r="D30" s="100"/>
    </row>
    <row r="31" spans="1:4">
      <c r="A31" s="100"/>
      <c r="B31" s="101"/>
      <c r="C31" s="8"/>
      <c r="D31" s="100"/>
    </row>
    <row r="32" spans="1:4" s="1" customFormat="1" ht="30">
      <c r="A32" s="102">
        <v>6</v>
      </c>
      <c r="B32" s="103" t="s">
        <v>36</v>
      </c>
      <c r="C32" s="103" t="s">
        <v>37</v>
      </c>
      <c r="D32" s="102"/>
    </row>
    <row r="33" spans="1:4">
      <c r="A33" s="100"/>
      <c r="B33" s="101"/>
      <c r="C33" s="8"/>
      <c r="D33" s="100"/>
    </row>
    <row r="34" spans="1:4">
      <c r="A34" s="100">
        <v>7</v>
      </c>
      <c r="B34" s="101" t="s">
        <v>38</v>
      </c>
      <c r="C34" s="8" t="s">
        <v>39</v>
      </c>
      <c r="D34" s="100"/>
    </row>
    <row r="35" spans="1:4">
      <c r="A35" s="100"/>
      <c r="B35" s="101"/>
      <c r="C35" s="8" t="s">
        <v>40</v>
      </c>
      <c r="D35" s="100"/>
    </row>
    <row r="36" spans="1:4" ht="30">
      <c r="A36" s="100"/>
      <c r="B36" s="101"/>
      <c r="C36" s="101" t="s">
        <v>41</v>
      </c>
      <c r="D36" s="100"/>
    </row>
    <row r="37" spans="1:4">
      <c r="A37" s="100"/>
      <c r="B37" s="101"/>
      <c r="C37" s="8" t="s">
        <v>42</v>
      </c>
      <c r="D37" s="100"/>
    </row>
    <row r="38" spans="1:4">
      <c r="A38" s="100"/>
      <c r="B38" s="101"/>
      <c r="C38" s="8"/>
      <c r="D38" s="100"/>
    </row>
    <row r="39" spans="1:4" ht="30">
      <c r="A39" s="102">
        <v>8</v>
      </c>
      <c r="B39" s="103" t="s">
        <v>43</v>
      </c>
      <c r="C39" s="101" t="s">
        <v>44</v>
      </c>
      <c r="D39" s="100"/>
    </row>
    <row r="40" spans="1:4">
      <c r="A40" s="100"/>
      <c r="B40" s="101"/>
      <c r="C40" s="8" t="s">
        <v>40</v>
      </c>
      <c r="D40" s="100"/>
    </row>
    <row r="41" spans="1:4" ht="30">
      <c r="A41" s="100"/>
      <c r="B41" s="101"/>
      <c r="C41" s="101" t="s">
        <v>41</v>
      </c>
      <c r="D41" s="100"/>
    </row>
    <row r="42" spans="1:4">
      <c r="A42" s="100"/>
      <c r="B42" s="101"/>
      <c r="C42" s="8" t="s">
        <v>42</v>
      </c>
      <c r="D42" s="100"/>
    </row>
  </sheetData>
  <mergeCells count="4">
    <mergeCell ref="A2:D2"/>
    <mergeCell ref="B13:B16"/>
    <mergeCell ref="D6:D11"/>
    <mergeCell ref="D13:D16"/>
  </mergeCells>
  <pageMargins left="0.69930555555555596" right="0.69930555555555596" top="0.75" bottom="0.75" header="0.3" footer="0.3"/>
  <pageSetup scale="71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9"/>
  <sheetViews>
    <sheetView zoomScale="95" zoomScaleNormal="95" workbookViewId="0">
      <selection sqref="A1:XFD1048576"/>
    </sheetView>
  </sheetViews>
  <sheetFormatPr defaultColWidth="9" defaultRowHeight="15"/>
  <cols>
    <col min="2" max="2" width="25.28515625" customWidth="1"/>
    <col min="3" max="3" width="14.5703125" customWidth="1"/>
    <col min="4" max="4" width="20.140625" customWidth="1"/>
    <col min="5" max="5" width="17" customWidth="1"/>
    <col min="6" max="6" width="16.85546875" customWidth="1"/>
    <col min="8" max="8" width="15.140625" customWidth="1"/>
    <col min="10" max="10" width="11.140625" customWidth="1"/>
  </cols>
  <sheetData>
    <row r="2" spans="2:10">
      <c r="B2" s="75" t="s">
        <v>45</v>
      </c>
      <c r="C2" s="75" t="s">
        <v>46</v>
      </c>
      <c r="D2" s="75" t="s">
        <v>47</v>
      </c>
      <c r="E2" s="75" t="s">
        <v>48</v>
      </c>
      <c r="F2" s="75" t="s">
        <v>49</v>
      </c>
    </row>
    <row r="3" spans="2:10">
      <c r="B3" s="73" t="s">
        <v>50</v>
      </c>
      <c r="C3" s="73">
        <v>500000</v>
      </c>
      <c r="D3" s="73">
        <v>500000</v>
      </c>
      <c r="E3" s="73">
        <v>150000</v>
      </c>
      <c r="F3" s="73"/>
    </row>
    <row r="4" spans="2:10">
      <c r="B4" s="73" t="s">
        <v>51</v>
      </c>
      <c r="C4" s="73">
        <v>200000</v>
      </c>
      <c r="D4" s="73">
        <v>200000</v>
      </c>
      <c r="E4" s="73">
        <v>50000</v>
      </c>
      <c r="F4" s="73"/>
    </row>
    <row r="5" spans="2:10">
      <c r="B5" s="73" t="s">
        <v>52</v>
      </c>
      <c r="C5" s="73">
        <v>400000</v>
      </c>
      <c r="D5" s="73">
        <v>400000</v>
      </c>
      <c r="E5" s="73">
        <v>200000</v>
      </c>
      <c r="F5" s="73"/>
      <c r="H5">
        <f>F6+F7</f>
        <v>1770000</v>
      </c>
      <c r="I5">
        <f>D10</f>
        <v>660000</v>
      </c>
      <c r="J5">
        <f>H5-I5</f>
        <v>1110000</v>
      </c>
    </row>
    <row r="6" spans="2:10">
      <c r="B6" s="73"/>
      <c r="C6" s="73">
        <f>SUM(C3:C5)</f>
        <v>1100000</v>
      </c>
      <c r="D6" s="73">
        <f>SUM(D3:D5)</f>
        <v>1100000</v>
      </c>
      <c r="E6" s="73">
        <f>SUM(E3:E5)</f>
        <v>400000</v>
      </c>
      <c r="F6" s="73">
        <f>E6+D6</f>
        <v>1500000</v>
      </c>
    </row>
    <row r="7" spans="2:10">
      <c r="B7" s="73"/>
      <c r="C7" s="73" t="s">
        <v>53</v>
      </c>
      <c r="D7" s="73">
        <f t="shared" ref="D7" si="0">D6*18%</f>
        <v>198000</v>
      </c>
      <c r="E7" s="73">
        <f>E6*18%</f>
        <v>72000</v>
      </c>
      <c r="F7" s="73">
        <f>F6*18%</f>
        <v>270000</v>
      </c>
    </row>
    <row r="8" spans="2:10">
      <c r="D8" s="76">
        <f>D6*18%</f>
        <v>198000</v>
      </c>
      <c r="E8" s="2" t="s">
        <v>54</v>
      </c>
    </row>
    <row r="9" spans="2:10">
      <c r="D9" s="77">
        <f>D6+D7</f>
        <v>1298000</v>
      </c>
      <c r="E9" t="s">
        <v>55</v>
      </c>
    </row>
    <row r="10" spans="2:10">
      <c r="D10">
        <f>D6*60%</f>
        <v>660000</v>
      </c>
    </row>
    <row r="11" spans="2:10">
      <c r="B11" t="s">
        <v>56</v>
      </c>
      <c r="D11">
        <f>D10*18%</f>
        <v>118800</v>
      </c>
      <c r="F11">
        <f>F6</f>
        <v>1500000</v>
      </c>
    </row>
    <row r="12" spans="2:10">
      <c r="B12" t="s">
        <v>57</v>
      </c>
      <c r="D12" s="77">
        <f>D10+D11</f>
        <v>778800</v>
      </c>
      <c r="E12" t="s">
        <v>58</v>
      </c>
      <c r="F12" s="78">
        <f>F6+F7</f>
        <v>1770000</v>
      </c>
      <c r="G12" t="s">
        <v>59</v>
      </c>
    </row>
    <row r="15" spans="2:10">
      <c r="B15" t="s">
        <v>60</v>
      </c>
      <c r="F15" t="s">
        <v>61</v>
      </c>
    </row>
    <row r="16" spans="2:10">
      <c r="C16" t="s">
        <v>62</v>
      </c>
      <c r="D16" t="s">
        <v>63</v>
      </c>
      <c r="E16" t="s">
        <v>64</v>
      </c>
      <c r="F16" t="s">
        <v>65</v>
      </c>
    </row>
    <row r="17" spans="2:11">
      <c r="B17" t="s">
        <v>60</v>
      </c>
      <c r="C17">
        <f>1000000</f>
        <v>1000000</v>
      </c>
      <c r="D17">
        <f>C17*18%</f>
        <v>180000</v>
      </c>
      <c r="E17" s="79">
        <f>C17+D17</f>
        <v>1180000</v>
      </c>
      <c r="F17">
        <f>F12-E17</f>
        <v>590000</v>
      </c>
    </row>
    <row r="18" spans="2:11">
      <c r="B18" t="s">
        <v>66</v>
      </c>
      <c r="C18" s="80">
        <v>105000</v>
      </c>
    </row>
    <row r="19" spans="2:11">
      <c r="B19" t="s">
        <v>67</v>
      </c>
      <c r="C19" s="74">
        <f>E17-C18</f>
        <v>1075000</v>
      </c>
      <c r="D19" t="s">
        <v>68</v>
      </c>
    </row>
    <row r="22" spans="2:11" s="1" customFormat="1" ht="30">
      <c r="C22" s="81" t="s">
        <v>69</v>
      </c>
      <c r="D22" s="82">
        <v>0.6</v>
      </c>
      <c r="E22" s="81" t="s">
        <v>70</v>
      </c>
      <c r="F22" s="82">
        <v>0.4</v>
      </c>
      <c r="G22" s="83" t="s">
        <v>71</v>
      </c>
    </row>
    <row r="23" spans="2:11">
      <c r="C23" s="113">
        <f>E17*60%</f>
        <v>708000</v>
      </c>
      <c r="D23" s="113"/>
      <c r="E23" s="113">
        <f>E17*40%</f>
        <v>472000</v>
      </c>
      <c r="F23" s="113"/>
      <c r="G23" s="84">
        <f>C23+E23</f>
        <v>1180000</v>
      </c>
    </row>
    <row r="25" spans="2:11">
      <c r="H25">
        <f>694000*18%</f>
        <v>124920</v>
      </c>
      <c r="I25" s="95">
        <v>0.6</v>
      </c>
      <c r="J25" s="95">
        <v>0.18</v>
      </c>
      <c r="K25" s="8"/>
    </row>
    <row r="26" spans="2:11">
      <c r="B26" s="8" t="s">
        <v>72</v>
      </c>
      <c r="C26" s="8"/>
      <c r="D26" s="8"/>
      <c r="E26" s="8"/>
      <c r="F26" s="8" t="s">
        <v>61</v>
      </c>
      <c r="H26">
        <f>694000</f>
        <v>694000</v>
      </c>
      <c r="I26" s="8">
        <f>H26</f>
        <v>694000</v>
      </c>
      <c r="J26" s="8">
        <f>I26*18%</f>
        <v>124920</v>
      </c>
      <c r="K26" s="8">
        <f>J26+I26</f>
        <v>818920</v>
      </c>
    </row>
    <row r="27" spans="2:11">
      <c r="B27" s="8"/>
      <c r="C27" s="8" t="s">
        <v>62</v>
      </c>
      <c r="D27" s="8" t="s">
        <v>63</v>
      </c>
      <c r="E27" s="8" t="s">
        <v>64</v>
      </c>
      <c r="F27" s="8" t="s">
        <v>65</v>
      </c>
      <c r="H27">
        <v>200000</v>
      </c>
    </row>
    <row r="28" spans="2:11">
      <c r="B28" s="8" t="s">
        <v>72</v>
      </c>
      <c r="C28" s="8">
        <v>500000</v>
      </c>
      <c r="D28" s="8">
        <f>C28*18%</f>
        <v>90000</v>
      </c>
      <c r="E28" s="85">
        <f>C28+D28</f>
        <v>590000</v>
      </c>
      <c r="F28" s="8">
        <f>F12-(E17+E28)</f>
        <v>0</v>
      </c>
    </row>
    <row r="29" spans="2:11">
      <c r="B29" s="8" t="s">
        <v>73</v>
      </c>
      <c r="C29" s="86">
        <v>65000</v>
      </c>
      <c r="D29" s="8"/>
      <c r="E29" s="8"/>
      <c r="F29" s="8"/>
    </row>
    <row r="30" spans="2:11">
      <c r="B30" s="8" t="s">
        <v>67</v>
      </c>
      <c r="C30" s="87">
        <f>E28-C29</f>
        <v>525000</v>
      </c>
      <c r="D30" s="8" t="s">
        <v>68</v>
      </c>
      <c r="E30" s="8"/>
      <c r="F30" s="8"/>
      <c r="H30">
        <f>C23+B34</f>
        <v>778800</v>
      </c>
    </row>
    <row r="33" spans="2:12" ht="30">
      <c r="B33" s="88" t="s">
        <v>69</v>
      </c>
      <c r="C33" s="89">
        <v>0.6</v>
      </c>
      <c r="D33" s="88" t="s">
        <v>70</v>
      </c>
      <c r="E33" s="89">
        <v>0.4</v>
      </c>
      <c r="F33" s="90"/>
      <c r="G33" s="91"/>
      <c r="H33" s="92" t="s">
        <v>71</v>
      </c>
      <c r="L33" s="1"/>
    </row>
    <row r="34" spans="2:12">
      <c r="B34" s="114">
        <v>70800</v>
      </c>
      <c r="C34" s="114"/>
      <c r="D34" s="114">
        <f>E28*40%</f>
        <v>236000</v>
      </c>
      <c r="E34" s="114"/>
      <c r="F34" s="91">
        <v>283200</v>
      </c>
      <c r="G34" s="91"/>
      <c r="H34" s="93">
        <f>B34+D34+F34</f>
        <v>590000</v>
      </c>
    </row>
    <row r="39" spans="2:12">
      <c r="B39" s="94" t="s">
        <v>74</v>
      </c>
      <c r="C39" s="94"/>
      <c r="D39" s="94">
        <f>C29+C18</f>
        <v>170000</v>
      </c>
    </row>
  </sheetData>
  <mergeCells count="4">
    <mergeCell ref="C23:D23"/>
    <mergeCell ref="E23:F23"/>
    <mergeCell ref="B34:C34"/>
    <mergeCell ref="D34:E34"/>
  </mergeCells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4"/>
  <sheetViews>
    <sheetView workbookViewId="0">
      <selection sqref="A1:XFD1048576"/>
    </sheetView>
  </sheetViews>
  <sheetFormatPr defaultColWidth="9" defaultRowHeight="15"/>
  <cols>
    <col min="2" max="2" width="25.28515625" customWidth="1"/>
    <col min="3" max="3" width="14.5703125" customWidth="1"/>
    <col min="4" max="5" width="20.140625" customWidth="1"/>
    <col min="6" max="6" width="17" customWidth="1"/>
    <col min="7" max="7" width="16.85546875" customWidth="1"/>
    <col min="9" max="9" width="15.140625" customWidth="1"/>
    <col min="11" max="11" width="11.140625" customWidth="1"/>
  </cols>
  <sheetData>
    <row r="2" spans="2:11" s="1" customFormat="1" ht="30">
      <c r="B2" s="3" t="s">
        <v>45</v>
      </c>
      <c r="C2" s="3" t="s">
        <v>46</v>
      </c>
      <c r="D2" s="3" t="s">
        <v>47</v>
      </c>
      <c r="E2" s="72" t="s">
        <v>75</v>
      </c>
      <c r="F2" s="3" t="s">
        <v>48</v>
      </c>
      <c r="G2" s="3" t="s">
        <v>76</v>
      </c>
    </row>
    <row r="3" spans="2:11">
      <c r="B3" s="73" t="s">
        <v>50</v>
      </c>
      <c r="C3" s="73">
        <v>494000</v>
      </c>
      <c r="D3" s="73">
        <v>494000</v>
      </c>
      <c r="E3" s="73">
        <f>694000+124920</f>
        <v>818920</v>
      </c>
      <c r="F3" s="73">
        <f>IF((E3-D3)&gt;0,E3-D3,0)</f>
        <v>324920</v>
      </c>
      <c r="G3" s="73"/>
    </row>
    <row r="4" spans="2:11">
      <c r="B4" s="73" t="s">
        <v>77</v>
      </c>
      <c r="C4" s="73">
        <v>200000</v>
      </c>
      <c r="D4" s="73">
        <v>200000</v>
      </c>
      <c r="E4" s="73">
        <v>150000</v>
      </c>
      <c r="F4" s="73">
        <f t="shared" ref="F4" si="0">E4-D4</f>
        <v>-50000</v>
      </c>
      <c r="G4" s="73"/>
    </row>
    <row r="5" spans="2:11">
      <c r="B5" s="73" t="s">
        <v>78</v>
      </c>
      <c r="C5" s="73">
        <v>100000</v>
      </c>
      <c r="D5" s="73">
        <v>100000</v>
      </c>
      <c r="E5" s="73">
        <v>120000</v>
      </c>
      <c r="F5" s="73">
        <f>E5-D5</f>
        <v>20000</v>
      </c>
      <c r="G5" s="73"/>
      <c r="I5">
        <f>G6+G7</f>
        <v>0</v>
      </c>
      <c r="J5" t="e">
        <f>#REF!</f>
        <v>#REF!</v>
      </c>
      <c r="K5" t="e">
        <f>I5-J5</f>
        <v>#REF!</v>
      </c>
    </row>
    <row r="6" spans="2:11">
      <c r="B6" s="73"/>
      <c r="C6" s="73"/>
      <c r="D6" s="73">
        <f t="shared" ref="D6" si="1">SUM(D3:D5)</f>
        <v>794000</v>
      </c>
      <c r="E6" s="73">
        <f>SUM(E3:E5)</f>
        <v>1088920</v>
      </c>
      <c r="F6" s="73">
        <f>SUM(F3:F5)</f>
        <v>294920</v>
      </c>
      <c r="G6" s="73"/>
    </row>
    <row r="7" spans="2:11">
      <c r="B7" s="73"/>
      <c r="C7" s="73"/>
      <c r="D7" s="73">
        <f>D6/E6*100</f>
        <v>72.916284024538072</v>
      </c>
      <c r="E7" s="73"/>
      <c r="F7" s="73">
        <f>F6/E6*100</f>
        <v>27.083715975461924</v>
      </c>
      <c r="G7" s="73"/>
    </row>
    <row r="8" spans="2:11">
      <c r="B8" s="2"/>
      <c r="C8" s="2"/>
      <c r="D8" s="2"/>
      <c r="E8" s="2"/>
      <c r="F8" s="2"/>
      <c r="G8" s="2"/>
    </row>
    <row r="9" spans="2:11">
      <c r="B9" s="2"/>
      <c r="C9" s="2" t="s">
        <v>79</v>
      </c>
      <c r="D9" s="2">
        <v>100000</v>
      </c>
      <c r="E9" s="2"/>
      <c r="F9" s="2">
        <v>60000</v>
      </c>
      <c r="G9" s="2">
        <v>40000</v>
      </c>
    </row>
    <row r="10" spans="2:11">
      <c r="B10" s="2"/>
      <c r="C10" s="2"/>
      <c r="D10" s="2">
        <f>D9-F11</f>
        <v>72916.284024538079</v>
      </c>
      <c r="E10" s="2"/>
      <c r="F10" s="74">
        <f>F9-D11</f>
        <v>16250.229585277157</v>
      </c>
    </row>
    <row r="11" spans="2:11">
      <c r="B11" s="2"/>
      <c r="C11" s="2" t="s">
        <v>80</v>
      </c>
      <c r="D11" s="2">
        <f>D10*60%</f>
        <v>43749.770414722843</v>
      </c>
      <c r="E11" s="2"/>
      <c r="F11" s="2">
        <f>D9*F7%</f>
        <v>27083.715975461924</v>
      </c>
      <c r="G11" s="2" t="s">
        <v>81</v>
      </c>
    </row>
    <row r="12" spans="2:11">
      <c r="B12" s="2"/>
      <c r="C12" s="2" t="s">
        <v>82</v>
      </c>
      <c r="D12" s="2">
        <f>D10-D11</f>
        <v>29166.513609815236</v>
      </c>
      <c r="E12" s="2"/>
      <c r="F12" s="2"/>
      <c r="G12" s="2"/>
    </row>
    <row r="13" spans="2:11">
      <c r="B13" s="2"/>
      <c r="C13" s="2"/>
      <c r="D13" s="2"/>
      <c r="E13" s="2"/>
      <c r="F13" s="2">
        <f>SUM(D11:F12)</f>
        <v>100000</v>
      </c>
      <c r="G13" s="2"/>
    </row>
    <row r="14" spans="2:11" ht="14.25" customHeight="1">
      <c r="B14" s="2"/>
      <c r="C14" s="2"/>
      <c r="D14" s="2"/>
      <c r="E14" s="2">
        <v>200000</v>
      </c>
      <c r="F14" s="2"/>
      <c r="G14" s="2"/>
    </row>
  </sheetData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workbookViewId="0">
      <selection activeCell="A2" sqref="A2"/>
    </sheetView>
  </sheetViews>
  <sheetFormatPr defaultColWidth="9" defaultRowHeight="15"/>
  <cols>
    <col min="1" max="1" width="26.7109375" customWidth="1"/>
    <col min="2" max="2" width="14.5703125" customWidth="1"/>
    <col min="3" max="3" width="15.140625" customWidth="1"/>
    <col min="4" max="4" width="16.5703125" customWidth="1"/>
    <col min="5" max="5" width="13.42578125" customWidth="1"/>
    <col min="6" max="6" width="4.28515625" customWidth="1"/>
    <col min="7" max="7" width="36.7109375" customWidth="1"/>
    <col min="8" max="8" width="22.5703125" customWidth="1"/>
    <col min="9" max="9" width="17" customWidth="1"/>
    <col min="10" max="10" width="24.42578125" customWidth="1"/>
    <col min="11" max="11" width="13.140625" customWidth="1"/>
    <col min="12" max="12" width="15.140625" customWidth="1"/>
    <col min="14" max="14" width="11.140625" customWidth="1"/>
  </cols>
  <sheetData>
    <row r="1" spans="1:11">
      <c r="A1" s="2"/>
      <c r="B1" s="2"/>
      <c r="C1" s="2"/>
      <c r="D1" s="2"/>
      <c r="E1" s="2"/>
      <c r="F1" s="2"/>
      <c r="G1" s="2"/>
      <c r="H1" s="118" t="s">
        <v>83</v>
      </c>
      <c r="I1" s="118"/>
      <c r="J1" s="118"/>
    </row>
    <row r="2" spans="1:11" s="1" customFormat="1" ht="30">
      <c r="A2" s="3" t="s">
        <v>45</v>
      </c>
      <c r="B2" s="3" t="s">
        <v>46</v>
      </c>
      <c r="C2" s="3" t="s">
        <v>47</v>
      </c>
      <c r="D2" s="4" t="s">
        <v>84</v>
      </c>
      <c r="E2" s="3" t="s">
        <v>85</v>
      </c>
      <c r="F2" s="61"/>
      <c r="G2" s="49"/>
      <c r="H2" s="50" t="s">
        <v>75</v>
      </c>
      <c r="I2" s="54" t="s">
        <v>48</v>
      </c>
      <c r="J2" s="68"/>
      <c r="K2" s="69"/>
    </row>
    <row r="3" spans="1:11" ht="45">
      <c r="A3" s="8" t="s">
        <v>50</v>
      </c>
      <c r="B3" s="9">
        <v>494000</v>
      </c>
      <c r="C3" s="9">
        <v>494000</v>
      </c>
      <c r="D3" s="10">
        <v>200000</v>
      </c>
      <c r="E3" s="9">
        <f>D3+C3</f>
        <v>694000</v>
      </c>
      <c r="F3" s="62"/>
      <c r="G3" s="12" t="s">
        <v>86</v>
      </c>
      <c r="H3" s="13">
        <f>B15</f>
        <v>1231920</v>
      </c>
      <c r="I3" s="38">
        <f>IF((H3-C6)&gt;0,H3-C6,0)</f>
        <v>437920</v>
      </c>
      <c r="J3" s="70" t="s">
        <v>87</v>
      </c>
      <c r="K3" s="40" t="s">
        <v>88</v>
      </c>
    </row>
    <row r="4" spans="1:11">
      <c r="A4" s="8" t="s">
        <v>77</v>
      </c>
      <c r="B4" s="9">
        <v>200000</v>
      </c>
      <c r="C4" s="9">
        <v>200000</v>
      </c>
      <c r="D4" s="10">
        <v>0</v>
      </c>
      <c r="E4" s="9">
        <f t="shared" ref="E4" si="0">D4+C4</f>
        <v>200000</v>
      </c>
      <c r="F4" s="62"/>
      <c r="G4" s="51"/>
      <c r="H4" s="8"/>
      <c r="I4" s="8"/>
      <c r="J4" s="71" t="s">
        <v>89</v>
      </c>
      <c r="K4" s="57">
        <v>0</v>
      </c>
    </row>
    <row r="5" spans="1:11">
      <c r="A5" s="8" t="s">
        <v>78</v>
      </c>
      <c r="B5" s="9">
        <v>100000</v>
      </c>
      <c r="C5" s="9">
        <v>100000</v>
      </c>
      <c r="D5" s="10">
        <v>50000</v>
      </c>
      <c r="E5" s="9">
        <f>D5+C5</f>
        <v>150000</v>
      </c>
      <c r="F5" s="62"/>
      <c r="G5" s="51"/>
      <c r="H5" s="8"/>
      <c r="I5" s="8"/>
      <c r="K5" s="42"/>
    </row>
    <row r="6" spans="1:11">
      <c r="A6" s="15" t="s">
        <v>71</v>
      </c>
      <c r="B6" s="9"/>
      <c r="C6" s="16">
        <f>SUM(C3:C5)</f>
        <v>794000</v>
      </c>
      <c r="D6" s="17">
        <f t="shared" ref="D6" si="1">SUM(D3:D5)</f>
        <v>250000</v>
      </c>
      <c r="E6" s="16">
        <f>SUM(E3:E5)</f>
        <v>1044000</v>
      </c>
      <c r="F6" s="62"/>
      <c r="G6" s="51"/>
      <c r="H6" s="8"/>
      <c r="I6" s="8"/>
      <c r="K6" s="42"/>
    </row>
    <row r="7" spans="1:11">
      <c r="A7" s="8"/>
      <c r="B7" s="8"/>
      <c r="C7" s="8"/>
      <c r="D7" s="18" t="s">
        <v>90</v>
      </c>
      <c r="E7" s="19">
        <f>E5+E4+E3</f>
        <v>1044000</v>
      </c>
      <c r="F7" s="63"/>
      <c r="G7" s="64"/>
      <c r="H7" s="65"/>
      <c r="I7" s="65"/>
      <c r="K7" s="42"/>
    </row>
    <row r="8" spans="1:11">
      <c r="F8" s="66"/>
      <c r="G8" s="21" t="s">
        <v>91</v>
      </c>
      <c r="H8" s="67">
        <f>C6/H3*100</f>
        <v>64.452237158257034</v>
      </c>
      <c r="I8" s="43">
        <f>I3/H3*100</f>
        <v>35.547762841742966</v>
      </c>
      <c r="J8" s="44" t="s">
        <v>92</v>
      </c>
      <c r="K8" s="42"/>
    </row>
    <row r="9" spans="1:11">
      <c r="G9" s="119" t="s">
        <v>93</v>
      </c>
      <c r="H9" s="120"/>
      <c r="I9" s="119" t="s">
        <v>94</v>
      </c>
      <c r="J9" s="121"/>
      <c r="K9" s="42"/>
    </row>
    <row r="10" spans="1:11">
      <c r="G10" s="14"/>
      <c r="K10" s="42"/>
    </row>
    <row r="11" spans="1:11">
      <c r="G11" s="14"/>
      <c r="K11" s="42"/>
    </row>
    <row r="12" spans="1:11">
      <c r="G12" s="14"/>
      <c r="K12" s="42"/>
    </row>
    <row r="13" spans="1:11">
      <c r="G13" s="14"/>
      <c r="K13" s="42"/>
    </row>
    <row r="14" spans="1:11">
      <c r="A14" t="s">
        <v>95</v>
      </c>
      <c r="G14" s="14"/>
      <c r="K14" s="42"/>
    </row>
    <row r="15" spans="1:11" ht="45">
      <c r="A15" s="24" t="s">
        <v>96</v>
      </c>
      <c r="B15" s="25">
        <f>E7*18%+E7</f>
        <v>1231920</v>
      </c>
      <c r="G15" s="14"/>
      <c r="K15" s="42"/>
    </row>
    <row r="16" spans="1:11">
      <c r="G16" s="14"/>
      <c r="K16" s="42"/>
    </row>
    <row r="17" spans="1:11">
      <c r="G17" s="14"/>
      <c r="K17" s="42"/>
    </row>
    <row r="18" spans="1:11">
      <c r="A18" s="26" t="s">
        <v>97</v>
      </c>
      <c r="B18" s="27">
        <v>500000</v>
      </c>
      <c r="C18" s="28" t="s">
        <v>98</v>
      </c>
      <c r="D18" s="29">
        <v>25000</v>
      </c>
      <c r="G18" s="115" t="s">
        <v>99</v>
      </c>
      <c r="H18" s="116"/>
      <c r="I18" s="30" t="s">
        <v>100</v>
      </c>
      <c r="J18" s="31">
        <f>(B18-D18)*I8%</f>
        <v>168851.87349827908</v>
      </c>
      <c r="K18" s="42"/>
    </row>
    <row r="19" spans="1:11">
      <c r="A19" s="117" t="s">
        <v>101</v>
      </c>
      <c r="B19" s="117"/>
      <c r="G19" s="115" t="s">
        <v>102</v>
      </c>
      <c r="H19" s="116"/>
      <c r="I19" s="30" t="s">
        <v>103</v>
      </c>
      <c r="J19" s="31">
        <f>(B18-D18)*H8%*60%</f>
        <v>183688.87590103256</v>
      </c>
      <c r="K19" s="42"/>
    </row>
    <row r="20" spans="1:11">
      <c r="A20" s="30" t="s">
        <v>104</v>
      </c>
      <c r="B20" s="31">
        <f t="shared" ref="B20" si="2">J19</f>
        <v>183688.87590103256</v>
      </c>
      <c r="G20" s="115" t="s">
        <v>105</v>
      </c>
      <c r="H20" s="116"/>
      <c r="I20" s="30" t="s">
        <v>106</v>
      </c>
      <c r="J20" s="31">
        <f>(B18-D18)*H8%*40%</f>
        <v>122459.25060068838</v>
      </c>
      <c r="K20" s="42"/>
    </row>
    <row r="21" spans="1:11">
      <c r="A21" s="30" t="s">
        <v>106</v>
      </c>
      <c r="B21" s="31">
        <f>J20</f>
        <v>122459.25060068838</v>
      </c>
      <c r="G21" s="14"/>
      <c r="I21" s="45"/>
      <c r="J21" s="46"/>
      <c r="K21" s="42"/>
    </row>
    <row r="22" spans="1:11">
      <c r="A22" s="30" t="s">
        <v>107</v>
      </c>
      <c r="B22" s="31">
        <f>J18</f>
        <v>168851.87349827908</v>
      </c>
      <c r="G22" s="14"/>
      <c r="I22" s="45"/>
      <c r="J22" s="47"/>
      <c r="K22" s="42"/>
    </row>
    <row r="23" spans="1:11">
      <c r="B23" s="32"/>
      <c r="G23" s="14"/>
      <c r="I23" s="45"/>
      <c r="J23" s="47"/>
      <c r="K23" s="42"/>
    </row>
    <row r="24" spans="1:11">
      <c r="A24" s="117" t="s">
        <v>108</v>
      </c>
      <c r="B24" s="117"/>
      <c r="G24" s="115" t="s">
        <v>109</v>
      </c>
      <c r="H24" s="116"/>
      <c r="I24" s="30" t="s">
        <v>100</v>
      </c>
      <c r="J24" s="31">
        <f>D18*I8%</f>
        <v>8886.9407104357415</v>
      </c>
      <c r="K24" s="42"/>
    </row>
    <row r="25" spans="1:11">
      <c r="A25" s="30" t="s">
        <v>104</v>
      </c>
      <c r="B25" s="31">
        <f t="shared" ref="B25" si="3">J24</f>
        <v>8886.9407104357415</v>
      </c>
      <c r="G25" s="115" t="s">
        <v>110</v>
      </c>
      <c r="H25" s="116"/>
      <c r="I25" s="30" t="s">
        <v>103</v>
      </c>
      <c r="J25" s="31">
        <f>D18*H8%*60%</f>
        <v>9667.8355737385555</v>
      </c>
      <c r="K25" s="42"/>
    </row>
    <row r="26" spans="1:11">
      <c r="A26" s="30" t="s">
        <v>106</v>
      </c>
      <c r="B26" s="31">
        <f>J25</f>
        <v>9667.8355737385555</v>
      </c>
      <c r="G26" s="115" t="s">
        <v>111</v>
      </c>
      <c r="H26" s="116"/>
      <c r="I26" s="30" t="s">
        <v>106</v>
      </c>
      <c r="J26" s="31">
        <f>D18*H8%*40%</f>
        <v>6445.2237158257039</v>
      </c>
      <c r="K26" s="42"/>
    </row>
    <row r="27" spans="1:11">
      <c r="A27" s="30" t="s">
        <v>107</v>
      </c>
      <c r="B27" s="31">
        <f>J26</f>
        <v>6445.2237158257039</v>
      </c>
      <c r="G27" s="33"/>
      <c r="H27" s="34"/>
      <c r="I27" s="34"/>
      <c r="J27" s="34"/>
      <c r="K27" s="48"/>
    </row>
  </sheetData>
  <mergeCells count="11">
    <mergeCell ref="H1:J1"/>
    <mergeCell ref="G9:H9"/>
    <mergeCell ref="I9:J9"/>
    <mergeCell ref="G18:H18"/>
    <mergeCell ref="A19:B19"/>
    <mergeCell ref="G19:H19"/>
    <mergeCell ref="G20:H20"/>
    <mergeCell ref="A24:B24"/>
    <mergeCell ref="G24:H24"/>
    <mergeCell ref="G25:H25"/>
    <mergeCell ref="G26:H26"/>
  </mergeCells>
  <pageMargins left="0.69930555555555596" right="0.69930555555555596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L29" sqref="L29"/>
    </sheetView>
  </sheetViews>
  <sheetFormatPr defaultColWidth="9" defaultRowHeight="15"/>
  <cols>
    <col min="1" max="1" width="27.7109375" customWidth="1"/>
    <col min="2" max="2" width="14.5703125" customWidth="1"/>
    <col min="3" max="3" width="19" customWidth="1"/>
    <col min="4" max="4" width="16.7109375" customWidth="1"/>
    <col min="5" max="5" width="15.7109375" customWidth="1"/>
    <col min="6" max="6" width="2.28515625" customWidth="1"/>
    <col min="7" max="7" width="34.140625" customWidth="1"/>
    <col min="8" max="8" width="22.5703125" customWidth="1"/>
    <col min="9" max="9" width="17" customWidth="1"/>
    <col min="10" max="10" width="25.85546875" customWidth="1"/>
    <col min="11" max="11" width="9.28515625" customWidth="1"/>
    <col min="12" max="12" width="15.140625" customWidth="1"/>
    <col min="14" max="14" width="11.140625" customWidth="1"/>
  </cols>
  <sheetData>
    <row r="1" spans="1:11">
      <c r="A1" s="2"/>
      <c r="B1" s="2"/>
      <c r="C1" s="2"/>
      <c r="D1" s="2"/>
      <c r="E1" s="2"/>
      <c r="F1" s="2"/>
      <c r="G1" s="2"/>
      <c r="H1" s="118" t="s">
        <v>83</v>
      </c>
      <c r="I1" s="118"/>
      <c r="J1" s="118"/>
    </row>
    <row r="2" spans="1:11" s="1" customFormat="1" ht="30">
      <c r="A2" s="3" t="s">
        <v>45</v>
      </c>
      <c r="B2" s="3" t="s">
        <v>46</v>
      </c>
      <c r="C2" s="3" t="s">
        <v>47</v>
      </c>
      <c r="D2" s="4" t="s">
        <v>84</v>
      </c>
      <c r="E2" s="3" t="s">
        <v>85</v>
      </c>
      <c r="F2" s="5"/>
      <c r="G2" s="49"/>
      <c r="H2" s="50" t="s">
        <v>75</v>
      </c>
      <c r="I2" s="54" t="s">
        <v>48</v>
      </c>
      <c r="J2" s="54"/>
      <c r="K2" s="55"/>
    </row>
    <row r="3" spans="1:11" ht="60">
      <c r="A3" s="8" t="s">
        <v>50</v>
      </c>
      <c r="B3" s="9">
        <v>494000</v>
      </c>
      <c r="C3" s="9">
        <v>494000</v>
      </c>
      <c r="D3" s="10">
        <v>200000</v>
      </c>
      <c r="E3" s="9">
        <f>D3+C3</f>
        <v>694000</v>
      </c>
      <c r="F3" s="11"/>
      <c r="G3" s="12" t="s">
        <v>86</v>
      </c>
      <c r="H3" s="13">
        <f>B15</f>
        <v>794000</v>
      </c>
      <c r="I3" s="38">
        <f>IF((H3-C6)&gt;0,H3-C6,0)</f>
        <v>0</v>
      </c>
      <c r="J3" s="56" t="s">
        <v>87</v>
      </c>
      <c r="K3" s="40" t="s">
        <v>88</v>
      </c>
    </row>
    <row r="4" spans="1:11">
      <c r="A4" s="8" t="s">
        <v>77</v>
      </c>
      <c r="B4" s="9">
        <v>200000</v>
      </c>
      <c r="C4" s="9">
        <v>200000</v>
      </c>
      <c r="D4" s="10">
        <v>0</v>
      </c>
      <c r="E4" s="9">
        <f>D4+C4</f>
        <v>200000</v>
      </c>
      <c r="F4" s="11"/>
      <c r="G4" s="51"/>
      <c r="H4" s="8"/>
      <c r="I4" s="8"/>
      <c r="J4" s="23" t="s">
        <v>89</v>
      </c>
      <c r="K4" s="57">
        <v>0</v>
      </c>
    </row>
    <row r="5" spans="1:11">
      <c r="A5" s="8" t="s">
        <v>78</v>
      </c>
      <c r="B5" s="9">
        <v>100000</v>
      </c>
      <c r="C5" s="9">
        <v>100000</v>
      </c>
      <c r="D5" s="10">
        <v>50000</v>
      </c>
      <c r="E5" s="9">
        <f>D5+C5</f>
        <v>150000</v>
      </c>
      <c r="F5" s="11"/>
      <c r="G5" s="51"/>
      <c r="H5" s="8"/>
      <c r="I5" s="8"/>
      <c r="J5" s="8"/>
      <c r="K5" s="58"/>
    </row>
    <row r="6" spans="1:11">
      <c r="A6" s="15" t="s">
        <v>71</v>
      </c>
      <c r="B6" s="9"/>
      <c r="C6" s="16">
        <f>SUM(C3:C5)</f>
        <v>794000</v>
      </c>
      <c r="D6" s="17">
        <f>SUM(D3:D5)</f>
        <v>250000</v>
      </c>
      <c r="E6" s="16">
        <f>SUM(E3:E5)</f>
        <v>1044000</v>
      </c>
      <c r="F6" s="11"/>
      <c r="G6" s="51"/>
      <c r="H6" s="8"/>
      <c r="I6" s="8"/>
      <c r="J6" s="8"/>
      <c r="K6" s="58"/>
    </row>
    <row r="7" spans="1:11">
      <c r="A7" s="8"/>
      <c r="B7" s="8"/>
      <c r="C7" s="8"/>
      <c r="D7" s="18" t="s">
        <v>90</v>
      </c>
      <c r="E7" s="19">
        <f>E5+E4+E3</f>
        <v>1044000</v>
      </c>
      <c r="F7" s="20"/>
      <c r="G7" s="51"/>
      <c r="H7" s="8"/>
      <c r="I7" s="8"/>
      <c r="J7" s="8"/>
      <c r="K7" s="58"/>
    </row>
    <row r="8" spans="1:11">
      <c r="G8" s="21" t="s">
        <v>91</v>
      </c>
      <c r="H8" s="22">
        <f>IF((B15-C6)&gt;0,B15-C6,100)</f>
        <v>100</v>
      </c>
      <c r="I8" s="43">
        <f>I3/H3*100</f>
        <v>0</v>
      </c>
      <c r="J8" s="44" t="s">
        <v>92</v>
      </c>
      <c r="K8" s="58"/>
    </row>
    <row r="9" spans="1:11">
      <c r="G9" s="122" t="s">
        <v>112</v>
      </c>
      <c r="H9" s="123"/>
      <c r="I9" s="124" t="s">
        <v>94</v>
      </c>
      <c r="J9" s="123"/>
      <c r="K9" s="58"/>
    </row>
    <row r="10" spans="1:11">
      <c r="G10" s="51"/>
      <c r="H10" s="8"/>
      <c r="I10" s="8"/>
      <c r="J10" s="8"/>
      <c r="K10" s="58"/>
    </row>
    <row r="11" spans="1:11">
      <c r="G11" s="51"/>
      <c r="H11" s="8"/>
      <c r="I11" s="8"/>
      <c r="J11" s="8"/>
      <c r="K11" s="58"/>
    </row>
    <row r="12" spans="1:11">
      <c r="G12" s="51"/>
      <c r="H12" s="8"/>
      <c r="I12" s="8"/>
      <c r="J12" s="8"/>
      <c r="K12" s="58"/>
    </row>
    <row r="13" spans="1:11">
      <c r="G13" s="51"/>
      <c r="H13" s="8"/>
      <c r="I13" s="8"/>
      <c r="J13" s="8"/>
      <c r="K13" s="58"/>
    </row>
    <row r="14" spans="1:11">
      <c r="A14" t="s">
        <v>95</v>
      </c>
      <c r="G14" s="51"/>
      <c r="H14" s="8"/>
      <c r="I14" s="8"/>
      <c r="J14" s="8"/>
      <c r="K14" s="58"/>
    </row>
    <row r="15" spans="1:11" ht="45">
      <c r="A15" s="24" t="s">
        <v>96</v>
      </c>
      <c r="B15" s="25">
        <v>794000</v>
      </c>
      <c r="G15" s="51"/>
      <c r="H15" s="8"/>
      <c r="I15" s="8"/>
      <c r="J15" s="8"/>
      <c r="K15" s="58"/>
    </row>
    <row r="16" spans="1:11">
      <c r="G16" s="51"/>
      <c r="H16" s="8"/>
      <c r="I16" s="8"/>
      <c r="J16" s="8"/>
      <c r="K16" s="58"/>
    </row>
    <row r="17" spans="1:11">
      <c r="G17" s="51"/>
      <c r="H17" s="8"/>
      <c r="I17" s="8"/>
      <c r="J17" s="8"/>
      <c r="K17" s="58"/>
    </row>
    <row r="18" spans="1:11">
      <c r="A18" s="26" t="s">
        <v>97</v>
      </c>
      <c r="B18" s="27">
        <v>500000</v>
      </c>
      <c r="C18" s="28" t="s">
        <v>98</v>
      </c>
      <c r="D18" s="29">
        <v>25000</v>
      </c>
      <c r="G18" s="115" t="s">
        <v>99</v>
      </c>
      <c r="H18" s="116"/>
      <c r="I18" s="30" t="s">
        <v>100</v>
      </c>
      <c r="J18" s="31">
        <f>(B18-D18)*I8%</f>
        <v>0</v>
      </c>
      <c r="K18" s="58"/>
    </row>
    <row r="19" spans="1:11">
      <c r="A19" s="117" t="s">
        <v>101</v>
      </c>
      <c r="B19" s="117"/>
      <c r="G19" s="115" t="s">
        <v>102</v>
      </c>
      <c r="H19" s="116"/>
      <c r="I19" s="30" t="s">
        <v>103</v>
      </c>
      <c r="J19" s="31">
        <f>(B18-D18)*H8%*60%</f>
        <v>285000</v>
      </c>
      <c r="K19" s="58"/>
    </row>
    <row r="20" spans="1:11">
      <c r="A20" s="30" t="s">
        <v>104</v>
      </c>
      <c r="B20" s="31">
        <f t="shared" ref="B20" si="0">J19</f>
        <v>285000</v>
      </c>
      <c r="G20" s="115" t="s">
        <v>105</v>
      </c>
      <c r="H20" s="116"/>
      <c r="I20" s="30" t="s">
        <v>106</v>
      </c>
      <c r="J20" s="31">
        <f>(B18-D18)*H8%*40%</f>
        <v>190000</v>
      </c>
      <c r="K20" s="58"/>
    </row>
    <row r="21" spans="1:11">
      <c r="A21" s="30" t="s">
        <v>106</v>
      </c>
      <c r="B21" s="31">
        <f>J20</f>
        <v>190000</v>
      </c>
      <c r="G21" s="51"/>
      <c r="H21" s="8"/>
      <c r="I21" s="30"/>
      <c r="J21" s="59"/>
      <c r="K21" s="58"/>
    </row>
    <row r="22" spans="1:11">
      <c r="A22" s="30" t="s">
        <v>107</v>
      </c>
      <c r="B22" s="31">
        <f>J18</f>
        <v>0</v>
      </c>
      <c r="G22" s="51"/>
      <c r="H22" s="8"/>
      <c r="I22" s="30"/>
      <c r="J22" s="31"/>
      <c r="K22" s="58"/>
    </row>
    <row r="23" spans="1:11">
      <c r="B23" s="32"/>
      <c r="G23" s="51"/>
      <c r="H23" s="8"/>
      <c r="I23" s="30"/>
      <c r="J23" s="31"/>
      <c r="K23" s="58"/>
    </row>
    <row r="24" spans="1:11">
      <c r="A24" s="117" t="s">
        <v>108</v>
      </c>
      <c r="B24" s="117"/>
      <c r="G24" s="115" t="s">
        <v>109</v>
      </c>
      <c r="H24" s="116"/>
      <c r="I24" s="30" t="s">
        <v>100</v>
      </c>
      <c r="J24" s="31">
        <f>D18*I8%</f>
        <v>0</v>
      </c>
      <c r="K24" s="58"/>
    </row>
    <row r="25" spans="1:11">
      <c r="A25" s="30" t="s">
        <v>104</v>
      </c>
      <c r="B25" s="31">
        <f t="shared" ref="B25" si="1">J24</f>
        <v>0</v>
      </c>
      <c r="G25" s="115" t="s">
        <v>110</v>
      </c>
      <c r="H25" s="116"/>
      <c r="I25" s="30" t="s">
        <v>103</v>
      </c>
      <c r="J25" s="31">
        <f>D18*H8%*60%</f>
        <v>15000</v>
      </c>
      <c r="K25" s="58"/>
    </row>
    <row r="26" spans="1:11">
      <c r="A26" s="30" t="s">
        <v>106</v>
      </c>
      <c r="B26" s="31">
        <f>J25</f>
        <v>15000</v>
      </c>
      <c r="G26" s="115" t="s">
        <v>111</v>
      </c>
      <c r="H26" s="116"/>
      <c r="I26" s="30" t="s">
        <v>106</v>
      </c>
      <c r="J26" s="31">
        <f>D18*H8%*40%</f>
        <v>10000</v>
      </c>
      <c r="K26" s="58"/>
    </row>
    <row r="27" spans="1:11">
      <c r="A27" s="30" t="s">
        <v>107</v>
      </c>
      <c r="B27" s="31">
        <f>J26</f>
        <v>10000</v>
      </c>
      <c r="G27" s="52"/>
      <c r="H27" s="53"/>
      <c r="I27" s="53"/>
      <c r="J27" s="53"/>
      <c r="K27" s="60"/>
    </row>
  </sheetData>
  <mergeCells count="11">
    <mergeCell ref="H1:J1"/>
    <mergeCell ref="G9:H9"/>
    <mergeCell ref="I9:J9"/>
    <mergeCell ref="G18:H18"/>
    <mergeCell ref="A19:B19"/>
    <mergeCell ref="G19:H19"/>
    <mergeCell ref="G20:H20"/>
    <mergeCell ref="A24:B24"/>
    <mergeCell ref="G24:H24"/>
    <mergeCell ref="G25:H25"/>
    <mergeCell ref="G26:H26"/>
  </mergeCells>
  <pageMargins left="0.75" right="0.75" top="1" bottom="1" header="0.51180555555555596" footer="0.5118055555555559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9"/>
  <sheetViews>
    <sheetView workbookViewId="0">
      <selection activeCell="B3" sqref="B3"/>
    </sheetView>
  </sheetViews>
  <sheetFormatPr defaultColWidth="9" defaultRowHeight="15"/>
  <cols>
    <col min="1" max="1" width="26.5703125" customWidth="1"/>
    <col min="2" max="3" width="12.85546875" customWidth="1"/>
    <col min="4" max="4" width="16.7109375" customWidth="1"/>
    <col min="5" max="5" width="15.7109375" customWidth="1"/>
    <col min="6" max="6" width="4.5703125" customWidth="1"/>
    <col min="7" max="7" width="36.7109375" customWidth="1"/>
    <col min="8" max="8" width="22.5703125" customWidth="1"/>
    <col min="9" max="9" width="17" customWidth="1"/>
    <col min="10" max="10" width="25.85546875" customWidth="1"/>
    <col min="11" max="11" width="13" customWidth="1"/>
    <col min="12" max="12" width="15.140625" customWidth="1"/>
    <col min="14" max="14" width="11.140625" customWidth="1"/>
  </cols>
  <sheetData>
    <row r="2" spans="1:11">
      <c r="A2" s="2"/>
      <c r="B2" s="2"/>
      <c r="C2" s="2"/>
      <c r="D2" s="2"/>
      <c r="E2" s="2"/>
      <c r="F2" s="2"/>
      <c r="G2" s="125" t="s">
        <v>83</v>
      </c>
      <c r="H2" s="125"/>
      <c r="I2" s="125"/>
      <c r="J2" s="125"/>
      <c r="K2" s="35"/>
    </row>
    <row r="3" spans="1:11" s="1" customFormat="1" ht="30">
      <c r="A3" s="3" t="s">
        <v>45</v>
      </c>
      <c r="B3" s="3" t="s">
        <v>46</v>
      </c>
      <c r="C3" s="3" t="s">
        <v>47</v>
      </c>
      <c r="D3" s="4" t="s">
        <v>84</v>
      </c>
      <c r="E3" s="3" t="s">
        <v>85</v>
      </c>
      <c r="F3" s="5"/>
      <c r="G3" s="6"/>
      <c r="H3" s="7" t="s">
        <v>75</v>
      </c>
      <c r="I3" s="36" t="s">
        <v>48</v>
      </c>
      <c r="J3" s="5"/>
      <c r="K3" s="37"/>
    </row>
    <row r="4" spans="1:11" ht="45">
      <c r="A4" s="8" t="s">
        <v>50</v>
      </c>
      <c r="B4" s="9">
        <v>494000</v>
      </c>
      <c r="C4" s="9">
        <v>494000</v>
      </c>
      <c r="D4" s="10">
        <v>200000</v>
      </c>
      <c r="E4" s="9">
        <f t="shared" ref="E4" si="0">D4+C4</f>
        <v>694000</v>
      </c>
      <c r="F4" s="11"/>
      <c r="G4" s="12" t="s">
        <v>86</v>
      </c>
      <c r="H4" s="13">
        <f>B16</f>
        <v>750000</v>
      </c>
      <c r="I4" s="38">
        <f>IF((H4-C7)&gt;0,H4-C7,0)</f>
        <v>0</v>
      </c>
      <c r="J4" s="39" t="s">
        <v>87</v>
      </c>
      <c r="K4" s="40" t="s">
        <v>88</v>
      </c>
    </row>
    <row r="5" spans="1:11">
      <c r="A5" s="8" t="s">
        <v>77</v>
      </c>
      <c r="B5" s="9">
        <v>200000</v>
      </c>
      <c r="C5" s="9">
        <v>200000</v>
      </c>
      <c r="D5" s="10">
        <v>0</v>
      </c>
      <c r="E5" s="9">
        <f>D5+C5</f>
        <v>200000</v>
      </c>
      <c r="F5" s="11"/>
      <c r="G5" s="14"/>
      <c r="J5" s="23" t="s">
        <v>89</v>
      </c>
      <c r="K5" s="41">
        <v>0</v>
      </c>
    </row>
    <row r="6" spans="1:11">
      <c r="A6" s="8" t="s">
        <v>78</v>
      </c>
      <c r="B6" s="9">
        <v>100000</v>
      </c>
      <c r="C6" s="9">
        <v>100000</v>
      </c>
      <c r="D6" s="10">
        <v>50000</v>
      </c>
      <c r="E6" s="9">
        <f>D6+C6</f>
        <v>150000</v>
      </c>
      <c r="F6" s="11"/>
      <c r="G6" s="14"/>
      <c r="K6" s="42"/>
    </row>
    <row r="7" spans="1:11">
      <c r="A7" s="15" t="s">
        <v>71</v>
      </c>
      <c r="B7" s="16">
        <f>SUM(B4:B6)</f>
        <v>794000</v>
      </c>
      <c r="C7" s="16">
        <f>SUM(C4:C6)</f>
        <v>794000</v>
      </c>
      <c r="D7" s="17">
        <f>SUM(D4:D6)</f>
        <v>250000</v>
      </c>
      <c r="E7" s="16">
        <f>SUM(E4:E6)</f>
        <v>1044000</v>
      </c>
      <c r="F7" s="11"/>
      <c r="G7" s="14"/>
      <c r="K7" s="42"/>
    </row>
    <row r="8" spans="1:11">
      <c r="A8" s="8"/>
      <c r="B8" s="8"/>
      <c r="C8" s="8"/>
      <c r="D8" s="18" t="s">
        <v>90</v>
      </c>
      <c r="E8" s="19">
        <f>E6+E5+E4</f>
        <v>1044000</v>
      </c>
      <c r="F8" s="20"/>
      <c r="G8" s="14"/>
      <c r="K8" s="42"/>
    </row>
    <row r="9" spans="1:11">
      <c r="G9" s="21" t="s">
        <v>91</v>
      </c>
      <c r="H9" s="22">
        <f>IF((B16-C7)&gt;0,B16-C7,100)</f>
        <v>100</v>
      </c>
      <c r="I9" s="43">
        <f>I4/H4*100</f>
        <v>0</v>
      </c>
      <c r="J9" s="44" t="s">
        <v>92</v>
      </c>
      <c r="K9" s="42"/>
    </row>
    <row r="10" spans="1:11">
      <c r="G10" s="122" t="s">
        <v>113</v>
      </c>
      <c r="H10" s="123"/>
      <c r="I10" s="124" t="s">
        <v>94</v>
      </c>
      <c r="J10" s="123"/>
      <c r="K10" s="42"/>
    </row>
    <row r="11" spans="1:11">
      <c r="G11" s="14"/>
      <c r="K11" s="42"/>
    </row>
    <row r="12" spans="1:11">
      <c r="G12" s="14"/>
      <c r="K12" s="42"/>
    </row>
    <row r="13" spans="1:11">
      <c r="G13" s="14"/>
      <c r="K13" s="42"/>
    </row>
    <row r="14" spans="1:11">
      <c r="G14" s="14"/>
      <c r="K14" s="42"/>
    </row>
    <row r="15" spans="1:11">
      <c r="A15" t="s">
        <v>95</v>
      </c>
      <c r="G15" s="14"/>
      <c r="K15" s="42"/>
    </row>
    <row r="16" spans="1:11" ht="45">
      <c r="A16" s="24" t="s">
        <v>96</v>
      </c>
      <c r="B16" s="25">
        <v>750000</v>
      </c>
      <c r="G16" s="14"/>
      <c r="K16" s="42"/>
    </row>
    <row r="17" spans="1:11">
      <c r="G17" s="14"/>
      <c r="K17" s="42"/>
    </row>
    <row r="18" spans="1:11">
      <c r="G18" s="14"/>
      <c r="K18" s="42"/>
    </row>
    <row r="19" spans="1:11">
      <c r="A19" s="26" t="s">
        <v>97</v>
      </c>
      <c r="B19" s="27">
        <v>600000</v>
      </c>
      <c r="C19" s="28" t="s">
        <v>98</v>
      </c>
      <c r="D19" s="29">
        <v>150000</v>
      </c>
      <c r="G19" s="115" t="s">
        <v>99</v>
      </c>
      <c r="H19" s="116"/>
      <c r="I19" s="30" t="s">
        <v>100</v>
      </c>
      <c r="J19" s="31">
        <f>(B19-D19)*I9%</f>
        <v>0</v>
      </c>
      <c r="K19" s="42"/>
    </row>
    <row r="20" spans="1:11">
      <c r="A20" s="117" t="s">
        <v>101</v>
      </c>
      <c r="B20" s="117"/>
      <c r="G20" s="115" t="s">
        <v>102</v>
      </c>
      <c r="H20" s="116"/>
      <c r="I20" s="30" t="s">
        <v>103</v>
      </c>
      <c r="J20" s="31">
        <f>(B19-D19)*H9%*60%</f>
        <v>270000</v>
      </c>
      <c r="K20" s="42"/>
    </row>
    <row r="21" spans="1:11">
      <c r="A21" s="30" t="s">
        <v>104</v>
      </c>
      <c r="B21" s="31">
        <f t="shared" ref="B21" si="1">J20</f>
        <v>270000</v>
      </c>
      <c r="G21" s="115" t="s">
        <v>105</v>
      </c>
      <c r="H21" s="116"/>
      <c r="I21" s="30" t="s">
        <v>106</v>
      </c>
      <c r="J21" s="31">
        <f>(B19-D19)*H9%*40%</f>
        <v>180000</v>
      </c>
      <c r="K21" s="42"/>
    </row>
    <row r="22" spans="1:11">
      <c r="A22" s="30" t="s">
        <v>106</v>
      </c>
      <c r="B22" s="31">
        <f>J21</f>
        <v>180000</v>
      </c>
      <c r="G22" s="14"/>
      <c r="I22" s="45"/>
      <c r="J22" s="46">
        <f>SUM(J20:J21)</f>
        <v>450000</v>
      </c>
      <c r="K22" s="42"/>
    </row>
    <row r="23" spans="1:11">
      <c r="A23" s="30" t="s">
        <v>107</v>
      </c>
      <c r="B23" s="31">
        <f>J19</f>
        <v>0</v>
      </c>
      <c r="G23" s="14"/>
      <c r="I23" s="45"/>
      <c r="J23" s="47"/>
      <c r="K23" s="42"/>
    </row>
    <row r="24" spans="1:11">
      <c r="B24" s="32"/>
      <c r="G24" s="14"/>
      <c r="I24" s="45"/>
      <c r="J24" s="47"/>
      <c r="K24" s="42"/>
    </row>
    <row r="25" spans="1:11">
      <c r="A25" s="117" t="s">
        <v>108</v>
      </c>
      <c r="B25" s="117"/>
      <c r="G25" s="115" t="s">
        <v>109</v>
      </c>
      <c r="H25" s="116"/>
      <c r="I25" s="30" t="s">
        <v>100</v>
      </c>
      <c r="J25" s="31">
        <f>D19*I9%</f>
        <v>0</v>
      </c>
      <c r="K25" s="42"/>
    </row>
    <row r="26" spans="1:11">
      <c r="A26" s="30" t="s">
        <v>104</v>
      </c>
      <c r="B26" s="31">
        <f t="shared" ref="B26" si="2">J25</f>
        <v>0</v>
      </c>
      <c r="G26" s="115" t="s">
        <v>110</v>
      </c>
      <c r="H26" s="116"/>
      <c r="I26" s="30" t="s">
        <v>103</v>
      </c>
      <c r="J26" s="31">
        <f>D19*H9%*60%</f>
        <v>90000</v>
      </c>
      <c r="K26" s="42"/>
    </row>
    <row r="27" spans="1:11">
      <c r="A27" s="30" t="s">
        <v>106</v>
      </c>
      <c r="B27" s="31">
        <f>J26</f>
        <v>90000</v>
      </c>
      <c r="G27" s="115" t="s">
        <v>111</v>
      </c>
      <c r="H27" s="116"/>
      <c r="I27" s="30" t="s">
        <v>106</v>
      </c>
      <c r="J27" s="31">
        <f>D19*H9%*40%</f>
        <v>60000</v>
      </c>
      <c r="K27" s="42"/>
    </row>
    <row r="28" spans="1:11">
      <c r="A28" s="30" t="s">
        <v>107</v>
      </c>
      <c r="B28" s="31">
        <f>J27</f>
        <v>60000</v>
      </c>
      <c r="G28" s="14"/>
      <c r="K28" s="42"/>
    </row>
    <row r="29" spans="1:11">
      <c r="G29" s="33"/>
      <c r="H29" s="34"/>
      <c r="I29" s="34"/>
      <c r="J29" s="34"/>
      <c r="K29" s="48"/>
    </row>
  </sheetData>
  <mergeCells count="11">
    <mergeCell ref="G2:J2"/>
    <mergeCell ref="G10:H10"/>
    <mergeCell ref="I10:J10"/>
    <mergeCell ref="G19:H19"/>
    <mergeCell ref="A20:B20"/>
    <mergeCell ref="G20:H20"/>
    <mergeCell ref="G21:H21"/>
    <mergeCell ref="A25:B25"/>
    <mergeCell ref="G25:H25"/>
    <mergeCell ref="G26:H26"/>
    <mergeCell ref="G27:H27"/>
  </mergeCells>
  <pageMargins left="0.75" right="0.75" top="1" bottom="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102C-C572-4885-9972-1BD7F757ADD7}">
  <dimension ref="A2:L37"/>
  <sheetViews>
    <sheetView tabSelected="1" workbookViewId="0">
      <selection activeCell="C36" sqref="C36:E36"/>
    </sheetView>
  </sheetViews>
  <sheetFormatPr defaultRowHeight="15"/>
  <cols>
    <col min="1" max="1" width="13.140625" customWidth="1"/>
    <col min="2" max="2" width="14.7109375" customWidth="1"/>
    <col min="11" max="11" width="12.28515625" customWidth="1"/>
  </cols>
  <sheetData>
    <row r="2" spans="1:12">
      <c r="A2" t="s">
        <v>129</v>
      </c>
    </row>
    <row r="4" spans="1:12" ht="30">
      <c r="B4" s="127" t="s">
        <v>127</v>
      </c>
      <c r="C4" s="128" t="s">
        <v>128</v>
      </c>
      <c r="D4" s="128"/>
      <c r="E4" s="128" t="s">
        <v>80</v>
      </c>
      <c r="F4" s="128" t="s">
        <v>118</v>
      </c>
      <c r="G4" s="128" t="s">
        <v>71</v>
      </c>
      <c r="H4" s="128" t="s">
        <v>119</v>
      </c>
      <c r="I4" s="126"/>
      <c r="J4" s="126"/>
      <c r="K4" s="126"/>
      <c r="L4" s="126"/>
    </row>
    <row r="5" spans="1:12">
      <c r="B5" s="8" t="s">
        <v>114</v>
      </c>
      <c r="C5" s="8">
        <v>50</v>
      </c>
      <c r="D5" s="8"/>
      <c r="E5" s="8">
        <f>C5*60%</f>
        <v>30</v>
      </c>
      <c r="F5" s="8">
        <f>C5*40%</f>
        <v>20</v>
      </c>
      <c r="G5" s="8">
        <f>SUM(E5:F5)</f>
        <v>50</v>
      </c>
      <c r="H5" s="8" t="s">
        <v>120</v>
      </c>
    </row>
    <row r="6" spans="1:12">
      <c r="B6" s="8" t="s">
        <v>115</v>
      </c>
      <c r="C6" s="8">
        <v>30</v>
      </c>
      <c r="D6" s="8"/>
      <c r="E6" s="8">
        <f t="shared" ref="E6:E8" si="0">C6*60%</f>
        <v>18</v>
      </c>
      <c r="F6" s="8">
        <f t="shared" ref="F6:F8" si="1">C6*40%</f>
        <v>12</v>
      </c>
      <c r="G6" s="8">
        <f t="shared" ref="G6:G8" si="2">SUM(E6:F6)</f>
        <v>30</v>
      </c>
      <c r="H6" s="8" t="s">
        <v>120</v>
      </c>
    </row>
    <row r="7" spans="1:12">
      <c r="B7" s="8" t="s">
        <v>116</v>
      </c>
      <c r="C7" s="8">
        <v>10</v>
      </c>
      <c r="D7" s="8"/>
      <c r="E7" s="8">
        <f t="shared" si="0"/>
        <v>6</v>
      </c>
      <c r="F7" s="8">
        <f t="shared" si="1"/>
        <v>4</v>
      </c>
      <c r="G7" s="8">
        <f t="shared" si="2"/>
        <v>10</v>
      </c>
      <c r="H7" s="8" t="s">
        <v>120</v>
      </c>
    </row>
    <row r="8" spans="1:12">
      <c r="B8" s="8" t="s">
        <v>117</v>
      </c>
      <c r="C8" s="8">
        <v>10</v>
      </c>
      <c r="D8" s="8"/>
      <c r="E8" s="8">
        <f t="shared" si="0"/>
        <v>6</v>
      </c>
      <c r="F8" s="8">
        <f t="shared" si="1"/>
        <v>4</v>
      </c>
      <c r="G8" s="8">
        <f t="shared" si="2"/>
        <v>10</v>
      </c>
      <c r="H8" s="8"/>
    </row>
    <row r="10" spans="1:12">
      <c r="A10" t="s">
        <v>125</v>
      </c>
      <c r="B10" s="129" t="s">
        <v>121</v>
      </c>
      <c r="C10" s="129"/>
      <c r="D10" s="129"/>
      <c r="E10" s="129"/>
      <c r="F10" s="129"/>
      <c r="G10" s="129"/>
      <c r="H10" s="130" t="s">
        <v>122</v>
      </c>
      <c r="I10" s="131"/>
      <c r="J10" s="132"/>
    </row>
    <row r="11" spans="1:12">
      <c r="B11" s="128" t="s">
        <v>123</v>
      </c>
      <c r="C11" s="128" t="s">
        <v>79</v>
      </c>
      <c r="D11" s="128"/>
      <c r="E11" s="128" t="s">
        <v>80</v>
      </c>
      <c r="F11" s="128" t="s">
        <v>118</v>
      </c>
      <c r="G11" s="128" t="s">
        <v>71</v>
      </c>
      <c r="H11" s="128" t="s">
        <v>80</v>
      </c>
      <c r="I11" s="128" t="s">
        <v>118</v>
      </c>
      <c r="J11" s="128" t="s">
        <v>71</v>
      </c>
    </row>
    <row r="12" spans="1:12">
      <c r="B12" s="8">
        <v>1</v>
      </c>
      <c r="C12" s="8">
        <v>40</v>
      </c>
      <c r="D12" s="8"/>
      <c r="E12" s="8">
        <f>C12*60%</f>
        <v>24</v>
      </c>
      <c r="F12" s="8">
        <f>C12*40%</f>
        <v>16</v>
      </c>
      <c r="G12" s="8">
        <f>SUM(E12:F12)</f>
        <v>40</v>
      </c>
      <c r="H12" s="8">
        <f>$E$5-E12</f>
        <v>6</v>
      </c>
      <c r="I12" s="8">
        <f>$F$5-F12</f>
        <v>4</v>
      </c>
      <c r="J12" s="8">
        <f>SUM(H12:I12)</f>
        <v>10</v>
      </c>
    </row>
    <row r="13" spans="1:12">
      <c r="B13" s="8">
        <v>2</v>
      </c>
      <c r="C13" s="8">
        <v>30</v>
      </c>
      <c r="D13" s="8"/>
      <c r="E13" s="8">
        <f>C13*60%</f>
        <v>18</v>
      </c>
      <c r="F13" s="8">
        <f>C13*40%</f>
        <v>12</v>
      </c>
      <c r="G13" s="8">
        <f>SUM(E13:F13)</f>
        <v>30</v>
      </c>
      <c r="H13" s="8">
        <f>$E$6+H12-E13</f>
        <v>6</v>
      </c>
      <c r="I13" s="8">
        <f>$F$6+I12-F13</f>
        <v>4</v>
      </c>
      <c r="J13" s="8">
        <f t="shared" ref="J13:J15" si="3">SUM(H13:I13)</f>
        <v>10</v>
      </c>
    </row>
    <row r="14" spans="1:12">
      <c r="B14" s="8">
        <v>3</v>
      </c>
      <c r="C14" s="8">
        <v>25</v>
      </c>
      <c r="D14" s="8"/>
      <c r="E14" s="8">
        <f>E8+H13</f>
        <v>12</v>
      </c>
      <c r="F14" s="8">
        <f>C14-E14</f>
        <v>13</v>
      </c>
      <c r="G14" s="8">
        <f>SUM(E14:F14)</f>
        <v>25</v>
      </c>
      <c r="H14" s="8">
        <f>$E$7+H13-E14</f>
        <v>0</v>
      </c>
      <c r="I14" s="8">
        <f>$F$7+I13-F14</f>
        <v>-5</v>
      </c>
      <c r="J14" s="8">
        <f t="shared" si="3"/>
        <v>-5</v>
      </c>
    </row>
    <row r="15" spans="1:12">
      <c r="B15" s="8">
        <v>4</v>
      </c>
      <c r="C15" s="8">
        <v>5</v>
      </c>
      <c r="D15" s="8"/>
      <c r="E15" s="8">
        <v>0</v>
      </c>
      <c r="F15" s="8">
        <f>C15</f>
        <v>5</v>
      </c>
      <c r="G15" s="8">
        <f>SUM(E15:F15)</f>
        <v>5</v>
      </c>
      <c r="H15" s="8">
        <v>0</v>
      </c>
      <c r="I15" s="8">
        <f>$F$8+I14-F15</f>
        <v>-6</v>
      </c>
      <c r="J15" s="8">
        <f t="shared" si="3"/>
        <v>-6</v>
      </c>
      <c r="K15" t="s">
        <v>124</v>
      </c>
    </row>
    <row r="17" spans="1:11">
      <c r="A17" t="s">
        <v>126</v>
      </c>
      <c r="B17" s="133" t="s">
        <v>121</v>
      </c>
      <c r="C17" s="133"/>
      <c r="D17" s="133"/>
      <c r="E17" s="133"/>
      <c r="F17" s="133"/>
      <c r="G17" s="133"/>
      <c r="H17" s="133" t="s">
        <v>122</v>
      </c>
      <c r="I17" s="133"/>
      <c r="J17" s="133"/>
    </row>
    <row r="18" spans="1:11" ht="45">
      <c r="B18" s="8" t="s">
        <v>123</v>
      </c>
      <c r="C18" s="8" t="s">
        <v>79</v>
      </c>
      <c r="D18" s="8"/>
      <c r="E18" s="128" t="s">
        <v>80</v>
      </c>
      <c r="F18" s="127" t="s">
        <v>118</v>
      </c>
      <c r="G18" s="128" t="s">
        <v>71</v>
      </c>
      <c r="H18" s="128" t="s">
        <v>80</v>
      </c>
      <c r="I18" s="128" t="s">
        <v>118</v>
      </c>
      <c r="J18" s="8" t="s">
        <v>71</v>
      </c>
    </row>
    <row r="19" spans="1:11">
      <c r="B19" s="8">
        <v>1</v>
      </c>
      <c r="C19" s="8">
        <v>35</v>
      </c>
      <c r="D19" s="8"/>
      <c r="E19" s="8">
        <f>C19*60%</f>
        <v>21</v>
      </c>
      <c r="F19" s="8">
        <f>C19*40%</f>
        <v>14</v>
      </c>
      <c r="G19" s="8">
        <f>SUM(E19:F19)</f>
        <v>35</v>
      </c>
      <c r="H19" s="8">
        <f>$E$5-E19</f>
        <v>9</v>
      </c>
      <c r="I19" s="8">
        <f>$F$5-F19</f>
        <v>6</v>
      </c>
      <c r="J19" s="8">
        <f>SUM(H19:I19)</f>
        <v>15</v>
      </c>
    </row>
    <row r="20" spans="1:11">
      <c r="B20" s="8">
        <v>2</v>
      </c>
      <c r="C20" s="8">
        <v>30</v>
      </c>
      <c r="D20" s="8"/>
      <c r="E20" s="8">
        <f>C20*60%</f>
        <v>18</v>
      </c>
      <c r="F20" s="8">
        <f>C20*40%</f>
        <v>12</v>
      </c>
      <c r="G20" s="8">
        <f>SUM(E20:F20)</f>
        <v>30</v>
      </c>
      <c r="H20" s="8">
        <f>$E$6+H19-E20</f>
        <v>9</v>
      </c>
      <c r="I20" s="8">
        <f>$F$6+I19-F20</f>
        <v>6</v>
      </c>
      <c r="J20" s="8">
        <f t="shared" ref="J20:J22" si="4">SUM(H20:I20)</f>
        <v>15</v>
      </c>
    </row>
    <row r="21" spans="1:11">
      <c r="B21" s="8">
        <v>3</v>
      </c>
      <c r="C21" s="8">
        <v>25</v>
      </c>
      <c r="D21" s="8"/>
      <c r="E21" s="8">
        <f>C21*60%</f>
        <v>15</v>
      </c>
      <c r="F21" s="8">
        <f>C21*40%</f>
        <v>10</v>
      </c>
      <c r="G21" s="8">
        <f>SUM(E21:F21)</f>
        <v>25</v>
      </c>
      <c r="H21" s="8">
        <f>$E$7+H20-E21</f>
        <v>0</v>
      </c>
      <c r="I21" s="8">
        <f>$F$7+I20-F21</f>
        <v>0</v>
      </c>
      <c r="J21" s="8">
        <f t="shared" si="4"/>
        <v>0</v>
      </c>
    </row>
    <row r="22" spans="1:11">
      <c r="B22" s="8">
        <v>4</v>
      </c>
      <c r="C22" s="8">
        <v>5</v>
      </c>
      <c r="D22" s="8"/>
      <c r="E22" s="8">
        <f>IF((C22*60/100)&lt;"J21",H21,(C22*60%))</f>
        <v>0</v>
      </c>
      <c r="F22" s="8">
        <f>C22</f>
        <v>5</v>
      </c>
      <c r="G22" s="8">
        <f>SUM(E22:F22)</f>
        <v>5</v>
      </c>
      <c r="H22" s="8">
        <f>H21-E22</f>
        <v>0</v>
      </c>
      <c r="I22" s="8">
        <f>$F$8+I21-F22</f>
        <v>-1</v>
      </c>
      <c r="J22" s="8">
        <f t="shared" si="4"/>
        <v>-1</v>
      </c>
      <c r="K22" t="s">
        <v>124</v>
      </c>
    </row>
    <row r="23" spans="1:11">
      <c r="B23" s="8">
        <v>5</v>
      </c>
      <c r="C23" s="8">
        <v>5</v>
      </c>
      <c r="D23" s="8"/>
      <c r="E23" s="8">
        <f>IF((C23*60/100)&lt;"J21",H22,(C23*60%))</f>
        <v>0</v>
      </c>
      <c r="F23" s="8">
        <f>C23</f>
        <v>5</v>
      </c>
      <c r="G23" s="8">
        <f>SUM(E23:F23)</f>
        <v>5</v>
      </c>
      <c r="H23" s="8">
        <f>H22-E23</f>
        <v>0</v>
      </c>
      <c r="I23" s="8">
        <f>+I22-F23</f>
        <v>-6</v>
      </c>
      <c r="J23" s="8">
        <f t="shared" ref="J23" si="5">SUM(H23:I23)</f>
        <v>-6</v>
      </c>
      <c r="K23" t="s">
        <v>124</v>
      </c>
    </row>
    <row r="26" spans="1:11">
      <c r="A26" t="s">
        <v>130</v>
      </c>
    </row>
    <row r="28" spans="1:11">
      <c r="A28">
        <v>1</v>
      </c>
      <c r="B28" t="s">
        <v>131</v>
      </c>
    </row>
    <row r="29" spans="1:11">
      <c r="A29">
        <v>2</v>
      </c>
      <c r="B29" t="s">
        <v>132</v>
      </c>
    </row>
    <row r="30" spans="1:11">
      <c r="A30">
        <v>3</v>
      </c>
      <c r="B30" t="s">
        <v>133</v>
      </c>
    </row>
    <row r="31" spans="1:11">
      <c r="A31">
        <v>4</v>
      </c>
      <c r="B31" t="s">
        <v>146</v>
      </c>
    </row>
    <row r="32" spans="1:11">
      <c r="B32" s="128" t="s">
        <v>134</v>
      </c>
      <c r="C32" s="153" t="s">
        <v>135</v>
      </c>
      <c r="D32" s="154"/>
      <c r="E32" s="155"/>
      <c r="F32" s="153" t="s">
        <v>136</v>
      </c>
      <c r="G32" s="136"/>
      <c r="H32" s="136"/>
      <c r="I32" s="136"/>
      <c r="J32" s="136"/>
      <c r="K32" s="137"/>
    </row>
    <row r="33" spans="2:11" ht="39" customHeight="1">
      <c r="B33" s="134">
        <v>1</v>
      </c>
      <c r="C33" s="138" t="s">
        <v>137</v>
      </c>
      <c r="D33" s="139"/>
      <c r="E33" s="140"/>
      <c r="F33" s="147" t="s">
        <v>138</v>
      </c>
      <c r="G33" s="148"/>
      <c r="H33" s="148"/>
      <c r="I33" s="148"/>
      <c r="J33" s="148"/>
      <c r="K33" s="149"/>
    </row>
    <row r="34" spans="2:11">
      <c r="B34" s="134"/>
      <c r="C34" s="141"/>
      <c r="D34" s="142"/>
      <c r="E34" s="143"/>
      <c r="F34" s="150" t="s">
        <v>139</v>
      </c>
      <c r="G34" s="151"/>
      <c r="H34" s="151"/>
      <c r="I34" s="151"/>
      <c r="J34" s="151"/>
      <c r="K34" s="152"/>
    </row>
    <row r="35" spans="2:11" ht="49.5" customHeight="1">
      <c r="B35" s="8">
        <v>2</v>
      </c>
      <c r="C35" s="141" t="s">
        <v>140</v>
      </c>
      <c r="D35" s="142"/>
      <c r="E35" s="143"/>
      <c r="F35" s="135" t="s">
        <v>141</v>
      </c>
      <c r="G35" s="136"/>
      <c r="H35" s="136"/>
      <c r="I35" s="136"/>
      <c r="J35" s="136"/>
      <c r="K35" s="137"/>
    </row>
    <row r="36" spans="2:11">
      <c r="B36" s="8">
        <v>3</v>
      </c>
      <c r="C36" s="156" t="s">
        <v>142</v>
      </c>
      <c r="D36" s="157"/>
      <c r="E36" s="158"/>
      <c r="F36" s="135" t="s">
        <v>143</v>
      </c>
      <c r="G36" s="136"/>
      <c r="H36" s="136"/>
      <c r="I36" s="136"/>
      <c r="J36" s="136"/>
      <c r="K36" s="137"/>
    </row>
    <row r="37" spans="2:11" ht="38.25" customHeight="1">
      <c r="B37" s="8">
        <v>4</v>
      </c>
      <c r="C37" s="144" t="s">
        <v>144</v>
      </c>
      <c r="D37" s="145"/>
      <c r="E37" s="146"/>
      <c r="F37" s="135" t="s">
        <v>145</v>
      </c>
      <c r="G37" s="136"/>
      <c r="H37" s="136"/>
      <c r="I37" s="136"/>
      <c r="J37" s="136"/>
      <c r="K37" s="137"/>
    </row>
  </sheetData>
  <mergeCells count="9">
    <mergeCell ref="C35:E35"/>
    <mergeCell ref="C37:E37"/>
    <mergeCell ref="C33:E34"/>
    <mergeCell ref="B33:B34"/>
    <mergeCell ref="C36:E36"/>
    <mergeCell ref="B10:G10"/>
    <mergeCell ref="H10:J10"/>
    <mergeCell ref="B17:G17"/>
    <mergeCell ref="H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Discussion Points </vt:lpstr>
      <vt:lpstr>Case 1</vt:lpstr>
      <vt:lpstr>revised sheet on 13.03.2024</vt:lpstr>
      <vt:lpstr>E Slip Changes Option 1</vt:lpstr>
      <vt:lpstr>E Slip Option 2</vt:lpstr>
      <vt:lpstr>E Slip Option 3</vt:lpstr>
      <vt:lpstr>Fourth Tranche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dipak.patil</dc:creator>
  <cp:lastModifiedBy>PCMU SMART PUNE</cp:lastModifiedBy>
  <cp:lastPrinted>2024-02-23T05:31:00Z</cp:lastPrinted>
  <dcterms:created xsi:type="dcterms:W3CDTF">2023-05-16T04:25:00Z</dcterms:created>
  <dcterms:modified xsi:type="dcterms:W3CDTF">2025-03-17T11:34:13Z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