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server\Documents\Kailas\KK\Farmission Farmer Producer Com Ltd\Smart Subsidy Project\"/>
    </mc:Choice>
  </mc:AlternateContent>
  <xr:revisionPtr revIDLastSave="0" documentId="13_ncr:1_{93395281-C6DE-4B49-9E2C-14403ABE944C}" xr6:coauthVersionLast="47" xr6:coauthVersionMax="47" xr10:uidLastSave="{00000000-0000-0000-0000-000000000000}"/>
  <bookViews>
    <workbookView xWindow="-120" yWindow="-120" windowWidth="20640" windowHeight="11160" firstSheet="3" activeTab="4" xr2:uid="{00000000-000D-0000-FFFF-FFFF00000000}"/>
  </bookViews>
  <sheets>
    <sheet name="Note for users" sheetId="1" r:id="rId1"/>
    <sheet name="1.Project Cost and MOF" sheetId="2" r:id="rId2"/>
    <sheet name="2.Capex Details" sheetId="3" r:id="rId3"/>
    <sheet name="3.Other Exp &amp; Taxes" sheetId="4" r:id="rId4"/>
    <sheet name="4.TL repayment sch" sheetId="5" r:id="rId5"/>
    <sheet name="5.Closing Stock &amp; W Capital" sheetId="6" r:id="rId6"/>
    <sheet name="6.Cons Profit &amp; Loss" sheetId="7" r:id="rId7"/>
    <sheet name="7.Balance Sheet" sheetId="8" r:id="rId8"/>
    <sheet name="Sheet1" sheetId="19" r:id="rId9"/>
    <sheet name="8.Cash Flow " sheetId="9" r:id="rId10"/>
    <sheet name="10.Grain Production details" sheetId="11" r:id="rId11"/>
    <sheet name="9. Financial indiacators" sheetId="10" r:id="rId12"/>
    <sheet name="11.F&amp;V Crop Production details" sheetId="12" r:id="rId13"/>
    <sheet name="12.Facility 1 - Trading" sheetId="13" r:id="rId14"/>
    <sheet name="13.Facility 2 Grain Processing" sheetId="14" r:id="rId15"/>
    <sheet name="14. Facility 3 Warehouse" sheetId="15" r:id="rId16"/>
    <sheet name="15. Facility 4 Custom Hiring" sheetId="16" r:id="rId17"/>
    <sheet name="16.Facility 5 Agri Input" sheetId="17" r:id="rId18"/>
    <sheet name="17.Facility 6 Horti Processing " sheetId="18" r:id="rId19"/>
    <sheet name="Sheet2" sheetId="20" r:id="rId20"/>
    <sheet name="Sheet3" sheetId="21" r:id="rId21"/>
  </sheets>
  <externalReferences>
    <externalReference r:id="rId22"/>
    <externalReference r:id="rId23"/>
  </externalReferences>
  <definedNames>
    <definedName name="_xlnm.Print_Area" localSheetId="1">'1.Project Cost and MOF'!$A$1:$G$33</definedName>
    <definedName name="_xlnm.Print_Area" localSheetId="10">'10.Grain Production details'!$A$1:$H$77</definedName>
    <definedName name="_xlnm.Print_Area" localSheetId="14">'13.Facility 2 Grain Processing'!$A$1:$H$189</definedName>
    <definedName name="_xlnm.Print_Area" localSheetId="2">'2.Capex Details'!$A$1:$H$80</definedName>
    <definedName name="_xlnm.Print_Area" localSheetId="4">'4.TL repayment sch'!$A$1:$G$98</definedName>
    <definedName name="_xlnm.Print_Area" localSheetId="5">'5.Closing Stock &amp; W Capital'!$A$1:$K$59</definedName>
    <definedName name="_xlnm.Print_Area" localSheetId="6">'6.Cons Profit &amp; Loss'!$A$1:$H$47</definedName>
    <definedName name="_xlnm.Print_Area" localSheetId="7">'7.Balance Sheet'!$A$1:$H$49</definedName>
    <definedName name="_xlnm.Print_Area" localSheetId="9">'8.Cash Flow '!$A$1:$I$36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78" i="13" l="1"/>
  <c r="C172" i="14" l="1"/>
  <c r="C294" i="13"/>
  <c r="C139" i="14"/>
  <c r="D27" i="15"/>
  <c r="D28" i="15"/>
  <c r="E17" i="15"/>
  <c r="E28" i="15" s="1"/>
  <c r="C140" i="14"/>
  <c r="F17" i="15" l="1"/>
  <c r="E27" i="15"/>
  <c r="D294" i="13"/>
  <c r="E133" i="14"/>
  <c r="E134" i="14" s="1"/>
  <c r="E172" i="13"/>
  <c r="F27" i="15" l="1"/>
  <c r="F28" i="15"/>
  <c r="G17" i="15"/>
  <c r="G37" i="15" s="1"/>
  <c r="F172" i="13"/>
  <c r="F294" i="13" s="1"/>
  <c r="E173" i="13"/>
  <c r="F133" i="14"/>
  <c r="F172" i="14" s="1"/>
  <c r="E294" i="13"/>
  <c r="D172" i="14"/>
  <c r="E172" i="14"/>
  <c r="F37" i="15"/>
  <c r="E37" i="15"/>
  <c r="G133" i="14" l="1"/>
  <c r="F134" i="14"/>
  <c r="G172" i="13"/>
  <c r="F173" i="13"/>
  <c r="H17" i="15"/>
  <c r="G28" i="15"/>
  <c r="G27" i="15"/>
  <c r="C141" i="14"/>
  <c r="C142" i="14"/>
  <c r="H27" i="15" l="1"/>
  <c r="H28" i="15"/>
  <c r="I17" i="15"/>
  <c r="H37" i="15"/>
  <c r="H133" i="14"/>
  <c r="G134" i="14"/>
  <c r="G172" i="14"/>
  <c r="H172" i="13"/>
  <c r="G173" i="13"/>
  <c r="G294" i="13"/>
  <c r="M243" i="13"/>
  <c r="M242" i="13"/>
  <c r="M241" i="13"/>
  <c r="M240" i="13"/>
  <c r="M239" i="13"/>
  <c r="M238" i="13"/>
  <c r="M237" i="13"/>
  <c r="M236" i="13"/>
  <c r="M235" i="13"/>
  <c r="M234" i="13"/>
  <c r="M233" i="13"/>
  <c r="L200" i="13"/>
  <c r="L188" i="13"/>
  <c r="L187" i="13"/>
  <c r="L183" i="13"/>
  <c r="L181" i="13"/>
  <c r="L179" i="13"/>
  <c r="L178" i="13"/>
  <c r="I133" i="14" l="1"/>
  <c r="H134" i="14"/>
  <c r="H172" i="14"/>
  <c r="I27" i="15"/>
  <c r="I37" i="15"/>
  <c r="J17" i="15"/>
  <c r="I28" i="15"/>
  <c r="I172" i="13"/>
  <c r="J172" i="13" s="1"/>
  <c r="H173" i="13"/>
  <c r="H294" i="13"/>
  <c r="K7" i="3"/>
  <c r="F53" i="3"/>
  <c r="F54" i="3"/>
  <c r="J173" i="13" l="1"/>
  <c r="J294" i="13"/>
  <c r="J37" i="15"/>
  <c r="J28" i="15"/>
  <c r="J27" i="15"/>
  <c r="I173" i="13"/>
  <c r="I294" i="13"/>
  <c r="J133" i="14"/>
  <c r="I134" i="14"/>
  <c r="I172" i="14"/>
  <c r="H63" i="13"/>
  <c r="G63" i="13"/>
  <c r="F63" i="13"/>
  <c r="E63" i="13"/>
  <c r="D63" i="13"/>
  <c r="C63" i="13"/>
  <c r="I21" i="7"/>
  <c r="C65" i="11"/>
  <c r="D65" i="11" s="1"/>
  <c r="E65" i="11" s="1"/>
  <c r="F65" i="11" s="1"/>
  <c r="G65" i="11" s="1"/>
  <c r="H65" i="11" s="1"/>
  <c r="I25" i="11"/>
  <c r="I24" i="11"/>
  <c r="I19" i="11"/>
  <c r="I17" i="11"/>
  <c r="I15" i="11"/>
  <c r="I14" i="11"/>
  <c r="M139" i="14"/>
  <c r="M140" i="14"/>
  <c r="M141" i="14"/>
  <c r="M142" i="14"/>
  <c r="C155" i="14"/>
  <c r="K155" i="14" s="1"/>
  <c r="C154" i="14"/>
  <c r="K154" i="14" s="1"/>
  <c r="C153" i="14"/>
  <c r="C152" i="14"/>
  <c r="O18" i="2"/>
  <c r="D181" i="18"/>
  <c r="D180" i="18"/>
  <c r="A156" i="18"/>
  <c r="A155" i="18"/>
  <c r="A154" i="18"/>
  <c r="E149" i="18"/>
  <c r="E180" i="18" s="1"/>
  <c r="B41" i="18"/>
  <c r="C40" i="18"/>
  <c r="D40" i="18" s="1"/>
  <c r="D41" i="18" s="1"/>
  <c r="H33" i="18"/>
  <c r="H32" i="18"/>
  <c r="H31" i="18"/>
  <c r="D268" i="17"/>
  <c r="D267" i="17"/>
  <c r="D266" i="17"/>
  <c r="D265" i="17"/>
  <c r="A251" i="17"/>
  <c r="A250" i="17"/>
  <c r="A249" i="17"/>
  <c r="A247" i="17"/>
  <c r="A246" i="17"/>
  <c r="A245" i="17"/>
  <c r="A244" i="17"/>
  <c r="D243" i="17"/>
  <c r="D214" i="17"/>
  <c r="D205" i="17"/>
  <c r="A195" i="17"/>
  <c r="C182" i="17"/>
  <c r="A179" i="17"/>
  <c r="A243" i="17" s="1"/>
  <c r="A138" i="17"/>
  <c r="A205" i="17" s="1"/>
  <c r="A129" i="17"/>
  <c r="E124" i="17"/>
  <c r="F124" i="17" s="1"/>
  <c r="A70" i="17"/>
  <c r="A61" i="17"/>
  <c r="A32" i="17"/>
  <c r="A153" i="17" s="1"/>
  <c r="A220" i="17" s="1"/>
  <c r="I31" i="17"/>
  <c r="I84" i="17" s="1"/>
  <c r="H31" i="17"/>
  <c r="H84" i="17" s="1"/>
  <c r="G31" i="17"/>
  <c r="G84" i="17" s="1"/>
  <c r="F31" i="17"/>
  <c r="F84" i="17" s="1"/>
  <c r="E31" i="17"/>
  <c r="E84" i="17" s="1"/>
  <c r="D31" i="17"/>
  <c r="D84" i="17" s="1"/>
  <c r="C31" i="17"/>
  <c r="C84" i="17" s="1"/>
  <c r="A31" i="17"/>
  <c r="A152" i="17" s="1"/>
  <c r="A219" i="17" s="1"/>
  <c r="A26" i="17"/>
  <c r="E52" i="16"/>
  <c r="E56" i="16" s="1"/>
  <c r="D38" i="16"/>
  <c r="C38" i="16"/>
  <c r="D37" i="16"/>
  <c r="C37" i="16"/>
  <c r="D36" i="16"/>
  <c r="C36" i="16"/>
  <c r="D35" i="16"/>
  <c r="C35" i="16"/>
  <c r="D34" i="16"/>
  <c r="C34" i="16"/>
  <c r="D33" i="16"/>
  <c r="C33" i="16"/>
  <c r="D32" i="16"/>
  <c r="A32" i="16"/>
  <c r="D31" i="16"/>
  <c r="A31" i="16"/>
  <c r="D30" i="16"/>
  <c r="A30" i="16"/>
  <c r="D29" i="16"/>
  <c r="A29" i="16"/>
  <c r="D28" i="16"/>
  <c r="A28" i="16"/>
  <c r="F23" i="16"/>
  <c r="F52" i="16" s="1"/>
  <c r="F56" i="16" s="1"/>
  <c r="M17" i="16"/>
  <c r="J17" i="16"/>
  <c r="F17" i="16"/>
  <c r="M16" i="16"/>
  <c r="J16" i="16"/>
  <c r="F16" i="16"/>
  <c r="M15" i="16"/>
  <c r="J15" i="16"/>
  <c r="F15" i="16"/>
  <c r="M14" i="16"/>
  <c r="J14" i="16"/>
  <c r="F14" i="16"/>
  <c r="M13" i="16"/>
  <c r="J13" i="16"/>
  <c r="F13" i="16"/>
  <c r="M12" i="16"/>
  <c r="F12" i="16"/>
  <c r="H12" i="16" s="1"/>
  <c r="C32" i="16" s="1"/>
  <c r="M11" i="16"/>
  <c r="F11" i="16"/>
  <c r="H11" i="16" s="1"/>
  <c r="M10" i="16"/>
  <c r="F10" i="16"/>
  <c r="H10" i="16" s="1"/>
  <c r="J10" i="16" s="1"/>
  <c r="M9" i="16"/>
  <c r="F9" i="16"/>
  <c r="H9" i="16" s="1"/>
  <c r="C29" i="16" s="1"/>
  <c r="M8" i="16"/>
  <c r="F8" i="16"/>
  <c r="H8" i="16" s="1"/>
  <c r="C28" i="16" s="1"/>
  <c r="F43" i="15"/>
  <c r="D24" i="7" s="1"/>
  <c r="D37" i="15"/>
  <c r="D43" i="15" s="1"/>
  <c r="B24" i="7" s="1"/>
  <c r="C29" i="15"/>
  <c r="B10" i="15"/>
  <c r="D21" i="15" s="1"/>
  <c r="D23" i="15" s="1"/>
  <c r="B10" i="7" s="1"/>
  <c r="C9" i="15"/>
  <c r="D177" i="14"/>
  <c r="B23" i="7" s="1"/>
  <c r="K145" i="14"/>
  <c r="E177" i="14"/>
  <c r="C23" i="7" s="1"/>
  <c r="A121" i="14"/>
  <c r="B34" i="14"/>
  <c r="C33" i="14"/>
  <c r="D33" i="14" s="1"/>
  <c r="D301" i="13"/>
  <c r="B22" i="7" s="1"/>
  <c r="D280" i="13"/>
  <c r="A280" i="13"/>
  <c r="D279" i="13"/>
  <c r="A279" i="13"/>
  <c r="D255" i="13"/>
  <c r="A255" i="13"/>
  <c r="A254" i="13"/>
  <c r="H164" i="13"/>
  <c r="G164" i="13"/>
  <c r="F164" i="13"/>
  <c r="E164" i="13"/>
  <c r="D164" i="13"/>
  <c r="C164" i="13"/>
  <c r="B164" i="13"/>
  <c r="D223" i="13" s="1"/>
  <c r="H163" i="13"/>
  <c r="G163" i="13"/>
  <c r="F163" i="13"/>
  <c r="E163" i="13"/>
  <c r="D163" i="13"/>
  <c r="C163" i="13"/>
  <c r="B163" i="13"/>
  <c r="D222" i="13" s="1"/>
  <c r="H162" i="13"/>
  <c r="G162" i="13"/>
  <c r="F162" i="13"/>
  <c r="E162" i="13"/>
  <c r="D162" i="13"/>
  <c r="C162" i="13"/>
  <c r="B162" i="13"/>
  <c r="D221" i="13" s="1"/>
  <c r="B63" i="13"/>
  <c r="A34" i="13"/>
  <c r="A91" i="13" s="1"/>
  <c r="A143" i="13" s="1"/>
  <c r="A202" i="13" s="1"/>
  <c r="A256" i="13" s="1"/>
  <c r="H32" i="13"/>
  <c r="G32" i="13"/>
  <c r="F32" i="13"/>
  <c r="E32" i="13"/>
  <c r="D32" i="13"/>
  <c r="C32" i="13"/>
  <c r="B32" i="13"/>
  <c r="B89" i="13" s="1"/>
  <c r="A32" i="13"/>
  <c r="A89" i="13" s="1"/>
  <c r="A141" i="13" s="1"/>
  <c r="C100" i="12"/>
  <c r="D100" i="12" s="1"/>
  <c r="E100" i="12" s="1"/>
  <c r="F100" i="12" s="1"/>
  <c r="G100" i="12" s="1"/>
  <c r="H100" i="12" s="1"/>
  <c r="C74" i="12"/>
  <c r="C13" i="18" s="1"/>
  <c r="C72" i="12"/>
  <c r="D72" i="12" s="1"/>
  <c r="E72" i="12" s="1"/>
  <c r="F72" i="12" s="1"/>
  <c r="G72" i="12" s="1"/>
  <c r="H72" i="12" s="1"/>
  <c r="A70" i="12"/>
  <c r="A59" i="13" s="1"/>
  <c r="A116" i="13" s="1"/>
  <c r="A168" i="13" s="1"/>
  <c r="A227" i="13" s="1"/>
  <c r="A278" i="13" s="1"/>
  <c r="A69" i="12"/>
  <c r="A58" i="13" s="1"/>
  <c r="A115" i="13" s="1"/>
  <c r="A167" i="13" s="1"/>
  <c r="A226" i="13" s="1"/>
  <c r="A277" i="13" s="1"/>
  <c r="A68" i="12"/>
  <c r="A57" i="13" s="1"/>
  <c r="A114" i="13" s="1"/>
  <c r="A166" i="13" s="1"/>
  <c r="A225" i="13" s="1"/>
  <c r="A276" i="13" s="1"/>
  <c r="A67" i="12"/>
  <c r="A56" i="13" s="1"/>
  <c r="A113" i="13" s="1"/>
  <c r="A165" i="13" s="1"/>
  <c r="A224" i="13" s="1"/>
  <c r="A275" i="13" s="1"/>
  <c r="A66" i="12"/>
  <c r="A94" i="12" s="1"/>
  <c r="A65" i="12"/>
  <c r="A93" i="12" s="1"/>
  <c r="A64" i="12"/>
  <c r="A53" i="13" s="1"/>
  <c r="A110" i="13" s="1"/>
  <c r="A162" i="13" s="1"/>
  <c r="A221" i="13" s="1"/>
  <c r="A63" i="12"/>
  <c r="A52" i="13" s="1"/>
  <c r="A109" i="13" s="1"/>
  <c r="A161" i="13" s="1"/>
  <c r="A220" i="13" s="1"/>
  <c r="A274" i="13" s="1"/>
  <c r="A62" i="12"/>
  <c r="A51" i="13" s="1"/>
  <c r="A108" i="13" s="1"/>
  <c r="A160" i="13" s="1"/>
  <c r="A219" i="13" s="1"/>
  <c r="A273" i="13" s="1"/>
  <c r="A61" i="12"/>
  <c r="A50" i="13" s="1"/>
  <c r="A107" i="13" s="1"/>
  <c r="A159" i="13" s="1"/>
  <c r="A218" i="13" s="1"/>
  <c r="A272" i="13" s="1"/>
  <c r="A60" i="12"/>
  <c r="A49" i="13" s="1"/>
  <c r="A106" i="13" s="1"/>
  <c r="A158" i="13" s="1"/>
  <c r="A217" i="13" s="1"/>
  <c r="A271" i="13" s="1"/>
  <c r="A59" i="12"/>
  <c r="A48" i="13" s="1"/>
  <c r="A105" i="13" s="1"/>
  <c r="A157" i="13" s="1"/>
  <c r="A216" i="13" s="1"/>
  <c r="A270" i="13" s="1"/>
  <c r="A58" i="12"/>
  <c r="A47" i="13" s="1"/>
  <c r="A104" i="13" s="1"/>
  <c r="A156" i="13" s="1"/>
  <c r="A215" i="13" s="1"/>
  <c r="A269" i="13" s="1"/>
  <c r="A57" i="12"/>
  <c r="A46" i="13" s="1"/>
  <c r="A103" i="13" s="1"/>
  <c r="A155" i="13" s="1"/>
  <c r="A214" i="13" s="1"/>
  <c r="A268" i="13" s="1"/>
  <c r="A56" i="12"/>
  <c r="A45" i="13" s="1"/>
  <c r="A102" i="13" s="1"/>
  <c r="A154" i="13" s="1"/>
  <c r="A213" i="13" s="1"/>
  <c r="A267" i="13" s="1"/>
  <c r="A55" i="12"/>
  <c r="A44" i="13" s="1"/>
  <c r="A101" i="13" s="1"/>
  <c r="A153" i="13" s="1"/>
  <c r="A212" i="13" s="1"/>
  <c r="A266" i="13" s="1"/>
  <c r="A54" i="12"/>
  <c r="A43" i="13" s="1"/>
  <c r="A100" i="13" s="1"/>
  <c r="A152" i="13" s="1"/>
  <c r="A211" i="13" s="1"/>
  <c r="A265" i="13" s="1"/>
  <c r="A53" i="12"/>
  <c r="A42" i="13" s="1"/>
  <c r="A99" i="13" s="1"/>
  <c r="A151" i="13" s="1"/>
  <c r="A210" i="13" s="1"/>
  <c r="A264" i="13" s="1"/>
  <c r="A52" i="12"/>
  <c r="A41" i="13" s="1"/>
  <c r="A98" i="13" s="1"/>
  <c r="A150" i="13" s="1"/>
  <c r="A209" i="13" s="1"/>
  <c r="A263" i="13" s="1"/>
  <c r="A51" i="12"/>
  <c r="A40" i="13" s="1"/>
  <c r="A97" i="13" s="1"/>
  <c r="A149" i="13" s="1"/>
  <c r="A208" i="13" s="1"/>
  <c r="A262" i="13" s="1"/>
  <c r="A50" i="12"/>
  <c r="A39" i="13" s="1"/>
  <c r="A96" i="13" s="1"/>
  <c r="A148" i="13" s="1"/>
  <c r="A207" i="13" s="1"/>
  <c r="A261" i="13" s="1"/>
  <c r="A49" i="12"/>
  <c r="A38" i="13" s="1"/>
  <c r="A95" i="13" s="1"/>
  <c r="A147" i="13" s="1"/>
  <c r="A206" i="13" s="1"/>
  <c r="A260" i="13" s="1"/>
  <c r="A48" i="12"/>
  <c r="A37" i="13" s="1"/>
  <c r="A94" i="13" s="1"/>
  <c r="A146" i="13" s="1"/>
  <c r="A205" i="13" s="1"/>
  <c r="A259" i="13" s="1"/>
  <c r="A47" i="12"/>
  <c r="A36" i="13" s="1"/>
  <c r="A93" i="13" s="1"/>
  <c r="A145" i="13" s="1"/>
  <c r="A204" i="13" s="1"/>
  <c r="A258" i="13" s="1"/>
  <c r="A46" i="12"/>
  <c r="A35" i="13" s="1"/>
  <c r="A92" i="13" s="1"/>
  <c r="A144" i="13" s="1"/>
  <c r="A203" i="13" s="1"/>
  <c r="A257" i="13" s="1"/>
  <c r="C44" i="12"/>
  <c r="D44" i="12" s="1"/>
  <c r="E44" i="12" s="1"/>
  <c r="F44" i="12" s="1"/>
  <c r="G44" i="12" s="1"/>
  <c r="H44" i="12" s="1"/>
  <c r="V12" i="12"/>
  <c r="W12" i="12" s="1"/>
  <c r="X12" i="12" s="1"/>
  <c r="P12" i="12"/>
  <c r="Q12" i="12" s="1"/>
  <c r="R12" i="12" s="1"/>
  <c r="S12" i="12" s="1"/>
  <c r="T12" i="12" s="1"/>
  <c r="K12" i="12"/>
  <c r="L12" i="12" s="1"/>
  <c r="M12" i="12" s="1"/>
  <c r="N12" i="12" s="1"/>
  <c r="B7" i="12"/>
  <c r="B9" i="12" s="1"/>
  <c r="D16" i="12" s="1"/>
  <c r="B113" i="11"/>
  <c r="C90" i="11"/>
  <c r="D90" i="11" s="1"/>
  <c r="E90" i="11" s="1"/>
  <c r="F90" i="11" s="1"/>
  <c r="G90" i="11" s="1"/>
  <c r="H90" i="11" s="1"/>
  <c r="A62" i="11"/>
  <c r="A61" i="11"/>
  <c r="A60" i="11"/>
  <c r="A59" i="11"/>
  <c r="A58" i="11"/>
  <c r="A57" i="11"/>
  <c r="A56" i="11"/>
  <c r="A25" i="13" s="1"/>
  <c r="A82" i="13" s="1"/>
  <c r="A134" i="13" s="1"/>
  <c r="A192" i="13" s="1"/>
  <c r="A247" i="13" s="1"/>
  <c r="A55" i="11"/>
  <c r="A24" i="13" s="1"/>
  <c r="A81" i="13" s="1"/>
  <c r="A133" i="13" s="1"/>
  <c r="A191" i="13" s="1"/>
  <c r="A246" i="13" s="1"/>
  <c r="A54" i="11"/>
  <c r="A23" i="13" s="1"/>
  <c r="A80" i="13" s="1"/>
  <c r="A132" i="13" s="1"/>
  <c r="A190" i="13" s="1"/>
  <c r="A245" i="13" s="1"/>
  <c r="A53" i="11"/>
  <c r="A22" i="13" s="1"/>
  <c r="A79" i="13" s="1"/>
  <c r="A131" i="13" s="1"/>
  <c r="A189" i="13" s="1"/>
  <c r="A244" i="13" s="1"/>
  <c r="A52" i="11"/>
  <c r="A21" i="13" s="1"/>
  <c r="A78" i="13" s="1"/>
  <c r="A130" i="13" s="1"/>
  <c r="A188" i="13" s="1"/>
  <c r="A243" i="13" s="1"/>
  <c r="A51" i="11"/>
  <c r="A20" i="13" s="1"/>
  <c r="A77" i="13" s="1"/>
  <c r="A129" i="13" s="1"/>
  <c r="A187" i="13" s="1"/>
  <c r="A242" i="13" s="1"/>
  <c r="A50" i="11"/>
  <c r="A19" i="13" s="1"/>
  <c r="A76" i="13" s="1"/>
  <c r="A128" i="13" s="1"/>
  <c r="A186" i="13" s="1"/>
  <c r="A241" i="13" s="1"/>
  <c r="A49" i="11"/>
  <c r="A18" i="13" s="1"/>
  <c r="A75" i="13" s="1"/>
  <c r="A127" i="13" s="1"/>
  <c r="A185" i="13" s="1"/>
  <c r="A240" i="13" s="1"/>
  <c r="A48" i="11"/>
  <c r="A17" i="13" s="1"/>
  <c r="A74" i="13" s="1"/>
  <c r="A126" i="13" s="1"/>
  <c r="A184" i="13" s="1"/>
  <c r="A239" i="13" s="1"/>
  <c r="A47" i="11"/>
  <c r="A16" i="13" s="1"/>
  <c r="A73" i="13" s="1"/>
  <c r="A125" i="13" s="1"/>
  <c r="A183" i="13" s="1"/>
  <c r="A238" i="13" s="1"/>
  <c r="A46" i="11"/>
  <c r="A15" i="13" s="1"/>
  <c r="A72" i="13" s="1"/>
  <c r="A124" i="13" s="1"/>
  <c r="A182" i="13" s="1"/>
  <c r="A237" i="13" s="1"/>
  <c r="A45" i="11"/>
  <c r="A14" i="13" s="1"/>
  <c r="A71" i="13" s="1"/>
  <c r="A123" i="13" s="1"/>
  <c r="A181" i="13" s="1"/>
  <c r="A236" i="13" s="1"/>
  <c r="A44" i="11"/>
  <c r="A13" i="13" s="1"/>
  <c r="A70" i="13" s="1"/>
  <c r="A122" i="13" s="1"/>
  <c r="A180" i="13" s="1"/>
  <c r="A235" i="13" s="1"/>
  <c r="A43" i="11"/>
  <c r="A12" i="13" s="1"/>
  <c r="A69" i="13" s="1"/>
  <c r="A121" i="13" s="1"/>
  <c r="A179" i="13" s="1"/>
  <c r="A234" i="13" s="1"/>
  <c r="A42" i="11"/>
  <c r="A11" i="13" s="1"/>
  <c r="A68" i="13" s="1"/>
  <c r="A120" i="13" s="1"/>
  <c r="A178" i="13" s="1"/>
  <c r="A233" i="13" s="1"/>
  <c r="C40" i="11"/>
  <c r="D40" i="11" s="1"/>
  <c r="E40" i="11" s="1"/>
  <c r="F40" i="11" s="1"/>
  <c r="G40" i="11" s="1"/>
  <c r="H40" i="11" s="1"/>
  <c r="V12" i="11"/>
  <c r="W12" i="11" s="1"/>
  <c r="X12" i="11" s="1"/>
  <c r="P12" i="11"/>
  <c r="Q12" i="11" s="1"/>
  <c r="R12" i="11" s="1"/>
  <c r="S12" i="11" s="1"/>
  <c r="T12" i="11" s="1"/>
  <c r="K12" i="11"/>
  <c r="L12" i="11" s="1"/>
  <c r="M12" i="11" s="1"/>
  <c r="N12" i="11" s="1"/>
  <c r="B7" i="11"/>
  <c r="B9" i="11" s="1"/>
  <c r="I161" i="10"/>
  <c r="H161" i="10"/>
  <c r="G161" i="10"/>
  <c r="F161" i="10"/>
  <c r="E161" i="10"/>
  <c r="D161" i="10"/>
  <c r="C161" i="10"/>
  <c r="I149" i="10"/>
  <c r="H149" i="10"/>
  <c r="G149" i="10"/>
  <c r="F149" i="10"/>
  <c r="E149" i="10"/>
  <c r="D149" i="10"/>
  <c r="C149" i="10"/>
  <c r="I137" i="10"/>
  <c r="H137" i="10"/>
  <c r="G137" i="10"/>
  <c r="F137" i="10"/>
  <c r="E137" i="10"/>
  <c r="D137" i="10"/>
  <c r="C137" i="10"/>
  <c r="I125" i="10"/>
  <c r="H125" i="10"/>
  <c r="G125" i="10"/>
  <c r="F125" i="10"/>
  <c r="E125" i="10"/>
  <c r="D125" i="10"/>
  <c r="C125" i="10"/>
  <c r="B125" i="10"/>
  <c r="B137" i="10" s="1"/>
  <c r="B149" i="10" s="1"/>
  <c r="B161" i="10" s="1"/>
  <c r="B124" i="10"/>
  <c r="B136" i="10" s="1"/>
  <c r="B148" i="10" s="1"/>
  <c r="B160" i="10" s="1"/>
  <c r="B123" i="10"/>
  <c r="B135" i="10" s="1"/>
  <c r="B147" i="10" s="1"/>
  <c r="B159" i="10" s="1"/>
  <c r="B122" i="10"/>
  <c r="B134" i="10" s="1"/>
  <c r="B146" i="10" s="1"/>
  <c r="B158" i="10" s="1"/>
  <c r="B95" i="10"/>
  <c r="B94" i="10"/>
  <c r="B93" i="10"/>
  <c r="B92" i="10"/>
  <c r="C62" i="10"/>
  <c r="D62" i="10" s="1"/>
  <c r="E62" i="10" s="1"/>
  <c r="F62" i="10" s="1"/>
  <c r="G62" i="10" s="1"/>
  <c r="H62" i="10" s="1"/>
  <c r="I62" i="10" s="1"/>
  <c r="B34" i="10"/>
  <c r="B33" i="10"/>
  <c r="B32" i="10"/>
  <c r="B9" i="9"/>
  <c r="H28" i="8"/>
  <c r="H33" i="7"/>
  <c r="J94" i="10" s="1"/>
  <c r="G33" i="7"/>
  <c r="H58" i="10" s="1"/>
  <c r="A17" i="7"/>
  <c r="A24" i="7" s="1"/>
  <c r="A16" i="7"/>
  <c r="A23" i="7" s="1"/>
  <c r="A15" i="7"/>
  <c r="A22" i="7" s="1"/>
  <c r="C48" i="6"/>
  <c r="C47" i="6"/>
  <c r="C46" i="6"/>
  <c r="C45" i="6"/>
  <c r="C44" i="6"/>
  <c r="C16" i="6"/>
  <c r="C15" i="6"/>
  <c r="C14" i="6"/>
  <c r="V12" i="6"/>
  <c r="U12" i="6"/>
  <c r="O12" i="6"/>
  <c r="P12" i="6" s="1"/>
  <c r="Q12" i="6" s="1"/>
  <c r="R12" i="6" s="1"/>
  <c r="N12" i="6"/>
  <c r="V11" i="6"/>
  <c r="U11" i="6"/>
  <c r="O11" i="6"/>
  <c r="P11" i="6" s="1"/>
  <c r="Q11" i="6" s="1"/>
  <c r="R11" i="6" s="1"/>
  <c r="N11" i="6"/>
  <c r="U10" i="6"/>
  <c r="N10" i="6"/>
  <c r="V9" i="6"/>
  <c r="U9" i="6"/>
  <c r="O9" i="6"/>
  <c r="P9" i="6" s="1"/>
  <c r="Q9" i="6" s="1"/>
  <c r="R9" i="6" s="1"/>
  <c r="N9" i="6"/>
  <c r="V8" i="6"/>
  <c r="I83" i="4"/>
  <c r="H83" i="4"/>
  <c r="A60" i="4"/>
  <c r="A59" i="4"/>
  <c r="A58" i="4"/>
  <c r="A57" i="4"/>
  <c r="E17" i="4"/>
  <c r="E16" i="4"/>
  <c r="E15" i="4"/>
  <c r="E14" i="4"/>
  <c r="E13" i="4"/>
  <c r="E12" i="4"/>
  <c r="E11" i="4"/>
  <c r="E10" i="4"/>
  <c r="E9" i="4"/>
  <c r="E8" i="4"/>
  <c r="F4" i="4"/>
  <c r="D78" i="3"/>
  <c r="D10" i="2" s="1"/>
  <c r="F65" i="3"/>
  <c r="F64" i="3"/>
  <c r="F43" i="3"/>
  <c r="K31" i="3" s="1"/>
  <c r="K33" i="3" s="1"/>
  <c r="F42" i="3"/>
  <c r="B166" i="18"/>
  <c r="H30" i="3"/>
  <c r="H22" i="3"/>
  <c r="B158" i="14" s="1"/>
  <c r="G20" i="3"/>
  <c r="I20" i="7" s="1"/>
  <c r="M15" i="2"/>
  <c r="M17" i="2" s="1"/>
  <c r="C10" i="2"/>
  <c r="C9" i="2"/>
  <c r="C8" i="2"/>
  <c r="C7" i="2"/>
  <c r="C6" i="2"/>
  <c r="B17" i="9" s="1"/>
  <c r="C5" i="2"/>
  <c r="B16" i="9" s="1"/>
  <c r="E33" i="16" l="1"/>
  <c r="E89" i="13"/>
  <c r="G254" i="13" s="1"/>
  <c r="R8" i="6"/>
  <c r="Q8" i="6"/>
  <c r="J134" i="14"/>
  <c r="J172" i="14"/>
  <c r="F29" i="15"/>
  <c r="J29" i="15"/>
  <c r="E29" i="15"/>
  <c r="I29" i="15"/>
  <c r="D29" i="15"/>
  <c r="D34" i="15" s="1"/>
  <c r="H29" i="15"/>
  <c r="G29" i="15"/>
  <c r="D89" i="13"/>
  <c r="D141" i="13" s="1"/>
  <c r="H89" i="13"/>
  <c r="H141" i="13" s="1"/>
  <c r="H33" i="3"/>
  <c r="B283" i="13" s="1"/>
  <c r="B54" i="7"/>
  <c r="E37" i="16"/>
  <c r="E34" i="16"/>
  <c r="O8" i="6"/>
  <c r="K152" i="14"/>
  <c r="P8" i="6"/>
  <c r="K153" i="14"/>
  <c r="D185" i="18"/>
  <c r="C31" i="16"/>
  <c r="E31" i="16" s="1"/>
  <c r="J11" i="16"/>
  <c r="F221" i="13"/>
  <c r="J9" i="16"/>
  <c r="C30" i="16"/>
  <c r="F30" i="16" s="1"/>
  <c r="F33" i="16"/>
  <c r="F38" i="16"/>
  <c r="A78" i="11"/>
  <c r="A24" i="14" s="1"/>
  <c r="A48" i="14" s="1"/>
  <c r="A97" i="14" s="1"/>
  <c r="E223" i="13"/>
  <c r="C44" i="16"/>
  <c r="E222" i="13"/>
  <c r="F223" i="13"/>
  <c r="E221" i="13"/>
  <c r="F222" i="13"/>
  <c r="C41" i="18"/>
  <c r="C44" i="18" s="1"/>
  <c r="F89" i="13"/>
  <c r="F141" i="13" s="1"/>
  <c r="G89" i="13"/>
  <c r="G141" i="13" s="1"/>
  <c r="C89" i="13"/>
  <c r="E254" i="13" s="1"/>
  <c r="J12" i="10"/>
  <c r="F66" i="3"/>
  <c r="D9" i="2" s="1"/>
  <c r="C51" i="4" s="1"/>
  <c r="G22" i="3"/>
  <c r="F45" i="3"/>
  <c r="D7" i="2" s="1"/>
  <c r="C45" i="4" s="1"/>
  <c r="G10" i="3"/>
  <c r="D5" i="2" s="1"/>
  <c r="F56" i="3"/>
  <c r="G30" i="3"/>
  <c r="E19" i="4"/>
  <c r="B25" i="7" s="1"/>
  <c r="E36" i="6"/>
  <c r="F9" i="4"/>
  <c r="F17" i="4"/>
  <c r="F8" i="4"/>
  <c r="F16" i="4"/>
  <c r="F15" i="4"/>
  <c r="C82" i="4"/>
  <c r="G82" i="4"/>
  <c r="C20" i="9"/>
  <c r="F82" i="4"/>
  <c r="E82" i="4"/>
  <c r="D82" i="4"/>
  <c r="G4" i="4"/>
  <c r="F14" i="4"/>
  <c r="V10" i="6"/>
  <c r="V15" i="6" s="1"/>
  <c r="F13" i="4"/>
  <c r="F10" i="2"/>
  <c r="F12" i="4"/>
  <c r="O10" i="6"/>
  <c r="P10" i="6" s="1"/>
  <c r="Q10" i="6" s="1"/>
  <c r="R10" i="6" s="1"/>
  <c r="F11" i="4"/>
  <c r="F10" i="4"/>
  <c r="H108" i="10"/>
  <c r="I12" i="10"/>
  <c r="C148" i="10"/>
  <c r="C34" i="10"/>
  <c r="C136" i="10"/>
  <c r="C160" i="10"/>
  <c r="I94" i="10"/>
  <c r="D17" i="11"/>
  <c r="D22" i="11"/>
  <c r="D19" i="11"/>
  <c r="D16" i="11"/>
  <c r="D21" i="11"/>
  <c r="C32" i="11"/>
  <c r="D18" i="11"/>
  <c r="C23" i="11"/>
  <c r="D15" i="11"/>
  <c r="D14" i="11"/>
  <c r="D20" i="11"/>
  <c r="C124" i="10"/>
  <c r="F16" i="12"/>
  <c r="H16" i="12" s="1"/>
  <c r="B104" i="12"/>
  <c r="A33" i="18"/>
  <c r="A122" i="12"/>
  <c r="A53" i="17" s="1"/>
  <c r="I108" i="10"/>
  <c r="A80" i="11"/>
  <c r="C30" i="17"/>
  <c r="C83" i="17" s="1"/>
  <c r="C113" i="11"/>
  <c r="I58" i="10"/>
  <c r="A67" i="11"/>
  <c r="A68" i="11"/>
  <c r="A69" i="11"/>
  <c r="A70" i="11"/>
  <c r="A71" i="11"/>
  <c r="A72" i="11"/>
  <c r="A73" i="11"/>
  <c r="A74" i="11"/>
  <c r="A75" i="11"/>
  <c r="A76" i="11"/>
  <c r="A77" i="11"/>
  <c r="D22" i="12"/>
  <c r="D39" i="12"/>
  <c r="D19" i="12"/>
  <c r="D21" i="12"/>
  <c r="D38" i="12"/>
  <c r="C32" i="12"/>
  <c r="D18" i="12"/>
  <c r="C23" i="12"/>
  <c r="D15" i="12"/>
  <c r="D14" i="12"/>
  <c r="D40" i="12"/>
  <c r="D20" i="12"/>
  <c r="D37" i="12"/>
  <c r="D17" i="12"/>
  <c r="A82" i="11"/>
  <c r="A26" i="13"/>
  <c r="A83" i="13" s="1"/>
  <c r="A135" i="13" s="1"/>
  <c r="A193" i="13" s="1"/>
  <c r="A248" i="13" s="1"/>
  <c r="A83" i="11"/>
  <c r="A27" i="13"/>
  <c r="A84" i="13" s="1"/>
  <c r="A136" i="13" s="1"/>
  <c r="A194" i="13" s="1"/>
  <c r="A249" i="13" s="1"/>
  <c r="A84" i="11"/>
  <c r="A28" i="13"/>
  <c r="A85" i="13" s="1"/>
  <c r="A137" i="13" s="1"/>
  <c r="A195" i="13" s="1"/>
  <c r="A250" i="13" s="1"/>
  <c r="A85" i="11"/>
  <c r="A29" i="13"/>
  <c r="A86" i="13" s="1"/>
  <c r="A138" i="13" s="1"/>
  <c r="A196" i="13" s="1"/>
  <c r="A251" i="13" s="1"/>
  <c r="A86" i="11"/>
  <c r="A111" i="11" s="1"/>
  <c r="A29" i="17" s="1"/>
  <c r="A30" i="13"/>
  <c r="A87" i="13" s="1"/>
  <c r="A139" i="13" s="1"/>
  <c r="A197" i="13" s="1"/>
  <c r="A252" i="13" s="1"/>
  <c r="A87" i="11"/>
  <c r="A112" i="11" s="1"/>
  <c r="A30" i="17" s="1"/>
  <c r="A31" i="13"/>
  <c r="A88" i="13" s="1"/>
  <c r="A140" i="13" s="1"/>
  <c r="A198" i="13" s="1"/>
  <c r="A253" i="13" s="1"/>
  <c r="A79" i="11"/>
  <c r="A81" i="11"/>
  <c r="A32" i="18"/>
  <c r="A121" i="12"/>
  <c r="A52" i="17" s="1"/>
  <c r="A74" i="12"/>
  <c r="A75" i="12"/>
  <c r="A76" i="12"/>
  <c r="A77" i="12"/>
  <c r="A78" i="12"/>
  <c r="A79" i="12"/>
  <c r="A80" i="12"/>
  <c r="A81" i="12"/>
  <c r="A82" i="12"/>
  <c r="A83" i="12"/>
  <c r="A84" i="12"/>
  <c r="A85" i="12"/>
  <c r="A86" i="12"/>
  <c r="A87" i="12"/>
  <c r="A88" i="12"/>
  <c r="A89" i="12"/>
  <c r="A90" i="12"/>
  <c r="A91" i="12"/>
  <c r="A92" i="12"/>
  <c r="D254" i="13"/>
  <c r="B141" i="13"/>
  <c r="D199" i="13" s="1"/>
  <c r="K199" i="13" s="1"/>
  <c r="A54" i="13"/>
  <c r="A111" i="13" s="1"/>
  <c r="A163" i="13" s="1"/>
  <c r="A222" i="13" s="1"/>
  <c r="A95" i="12"/>
  <c r="A96" i="12"/>
  <c r="A97" i="12"/>
  <c r="A98" i="12"/>
  <c r="A55" i="13"/>
  <c r="A112" i="13" s="1"/>
  <c r="A164" i="13" s="1"/>
  <c r="A223" i="13" s="1"/>
  <c r="E141" i="13"/>
  <c r="G223" i="13"/>
  <c r="F301" i="13"/>
  <c r="D22" i="7" s="1"/>
  <c r="F280" i="13"/>
  <c r="F279" i="13"/>
  <c r="F255" i="13"/>
  <c r="E33" i="14"/>
  <c r="D34" i="14"/>
  <c r="E301" i="13"/>
  <c r="C22" i="7" s="1"/>
  <c r="E280" i="13"/>
  <c r="E279" i="13"/>
  <c r="E255" i="13"/>
  <c r="D9" i="15"/>
  <c r="C10" i="15"/>
  <c r="E21" i="15" s="1"/>
  <c r="E23" i="15" s="1"/>
  <c r="F29" i="16"/>
  <c r="E29" i="16"/>
  <c r="C34" i="14"/>
  <c r="F32" i="16"/>
  <c r="E32" i="16"/>
  <c r="F28" i="16"/>
  <c r="E28" i="16"/>
  <c r="F44" i="16"/>
  <c r="E44" i="16"/>
  <c r="G23" i="16"/>
  <c r="G29" i="16" s="1"/>
  <c r="D219" i="17"/>
  <c r="D152" i="17"/>
  <c r="E43" i="15"/>
  <c r="C24" i="7" s="1"/>
  <c r="E219" i="17"/>
  <c r="E152" i="17"/>
  <c r="A147" i="17"/>
  <c r="A214" i="17" s="1"/>
  <c r="A79" i="17"/>
  <c r="F34" i="16"/>
  <c r="E35" i="16"/>
  <c r="E30" i="16"/>
  <c r="F35" i="16"/>
  <c r="E36" i="16"/>
  <c r="F36" i="16"/>
  <c r="J8" i="16"/>
  <c r="J12" i="16"/>
  <c r="F37" i="16"/>
  <c r="E38" i="16"/>
  <c r="F219" i="17"/>
  <c r="F152" i="17"/>
  <c r="A84" i="17"/>
  <c r="A85" i="17"/>
  <c r="E266" i="17"/>
  <c r="E268" i="17"/>
  <c r="E267" i="17"/>
  <c r="E243" i="17"/>
  <c r="E265" i="17"/>
  <c r="F267" i="17"/>
  <c r="F265" i="17"/>
  <c r="F268" i="17"/>
  <c r="F266" i="17"/>
  <c r="F243" i="17"/>
  <c r="F214" i="17"/>
  <c r="E205" i="17"/>
  <c r="G124" i="17"/>
  <c r="G219" i="17" s="1"/>
  <c r="F205" i="17"/>
  <c r="E214" i="17"/>
  <c r="D273" i="17"/>
  <c r="E40" i="18"/>
  <c r="F149" i="18"/>
  <c r="E181" i="18"/>
  <c r="E185" i="18" s="1"/>
  <c r="C16" i="9" l="1"/>
  <c r="D36" i="11"/>
  <c r="F36" i="11" s="1"/>
  <c r="H36" i="11" s="1"/>
  <c r="D34" i="11"/>
  <c r="F34" i="11" s="1"/>
  <c r="H34" i="11" s="1"/>
  <c r="D35" i="11"/>
  <c r="F35" i="11" s="1"/>
  <c r="H35" i="11" s="1"/>
  <c r="D33" i="11"/>
  <c r="F33" i="11" s="1"/>
  <c r="H33" i="11" s="1"/>
  <c r="D27" i="11"/>
  <c r="F27" i="11" s="1"/>
  <c r="H27" i="11" s="1"/>
  <c r="D31" i="11"/>
  <c r="F31" i="11" s="1"/>
  <c r="H31" i="11" s="1"/>
  <c r="D28" i="11"/>
  <c r="F28" i="11" s="1"/>
  <c r="H28" i="11" s="1"/>
  <c r="D26" i="11"/>
  <c r="F26" i="11" s="1"/>
  <c r="H26" i="11" s="1"/>
  <c r="D30" i="11"/>
  <c r="F30" i="11" s="1"/>
  <c r="H30" i="11" s="1"/>
  <c r="D29" i="11"/>
  <c r="F29" i="11" s="1"/>
  <c r="H29" i="11" s="1"/>
  <c r="R15" i="6"/>
  <c r="A103" i="11"/>
  <c r="A20" i="17" s="1"/>
  <c r="A73" i="17" s="1"/>
  <c r="F254" i="13"/>
  <c r="F31" i="16"/>
  <c r="F39" i="16" s="1"/>
  <c r="I46" i="4"/>
  <c r="F46" i="4"/>
  <c r="H46" i="4"/>
  <c r="D46" i="4"/>
  <c r="E46" i="4"/>
  <c r="G46" i="4"/>
  <c r="C46" i="4"/>
  <c r="C48" i="4" s="1"/>
  <c r="F34" i="15"/>
  <c r="G48" i="6" s="1"/>
  <c r="C54" i="7"/>
  <c r="F273" i="17"/>
  <c r="G28" i="16"/>
  <c r="G33" i="3"/>
  <c r="D6" i="2" s="1"/>
  <c r="C39" i="4" s="1"/>
  <c r="D8" i="2"/>
  <c r="C57" i="4" s="1"/>
  <c r="K57" i="4" s="1"/>
  <c r="G31" i="16"/>
  <c r="G36" i="16"/>
  <c r="G44" i="16"/>
  <c r="G30" i="16"/>
  <c r="G33" i="16"/>
  <c r="G37" i="16"/>
  <c r="G35" i="16"/>
  <c r="G34" i="16"/>
  <c r="F7" i="2"/>
  <c r="C141" i="13"/>
  <c r="E199" i="13" s="1"/>
  <c r="E34" i="15"/>
  <c r="E45" i="15" s="1"/>
  <c r="E47" i="15" s="1"/>
  <c r="F9" i="2"/>
  <c r="C18" i="9"/>
  <c r="F5" i="2"/>
  <c r="C33" i="4"/>
  <c r="O15" i="6"/>
  <c r="B26" i="7"/>
  <c r="D45" i="15"/>
  <c r="D47" i="15" s="1"/>
  <c r="E48" i="6"/>
  <c r="B17" i="7"/>
  <c r="I17" i="7" s="1"/>
  <c r="A105" i="17"/>
  <c r="A173" i="17"/>
  <c r="A13" i="14"/>
  <c r="A37" i="14" s="1"/>
  <c r="A58" i="14" s="1"/>
  <c r="A92" i="11"/>
  <c r="A9" i="17" s="1"/>
  <c r="G52" i="16"/>
  <c r="G56" i="16" s="1"/>
  <c r="H23" i="16"/>
  <c r="G38" i="16"/>
  <c r="A34" i="18"/>
  <c r="A62" i="18" s="1"/>
  <c r="A123" i="18" s="1"/>
  <c r="A123" i="12"/>
  <c r="A54" i="17" s="1"/>
  <c r="A27" i="18"/>
  <c r="A58" i="18" s="1"/>
  <c r="A119" i="18" s="1"/>
  <c r="A116" i="12"/>
  <c r="A47" i="17" s="1"/>
  <c r="A19" i="18"/>
  <c r="A50" i="18" s="1"/>
  <c r="A91" i="18" s="1"/>
  <c r="A108" i="12"/>
  <c r="A39" i="17" s="1"/>
  <c r="A31" i="14"/>
  <c r="A55" i="14" s="1"/>
  <c r="A118" i="14" s="1"/>
  <c r="A110" i="11"/>
  <c r="A28" i="17" s="1"/>
  <c r="B123" i="12"/>
  <c r="F37" i="12"/>
  <c r="H37" i="12" s="1"/>
  <c r="B124" i="12"/>
  <c r="F38" i="12"/>
  <c r="H38" i="12" s="1"/>
  <c r="A20" i="14"/>
  <c r="A44" i="14" s="1"/>
  <c r="A83" i="14" s="1"/>
  <c r="A99" i="11"/>
  <c r="A16" i="17" s="1"/>
  <c r="C35" i="17"/>
  <c r="C88" i="17" s="1"/>
  <c r="C104" i="12"/>
  <c r="B96" i="11"/>
  <c r="F18" i="11"/>
  <c r="H18" i="11" s="1"/>
  <c r="E33" i="7"/>
  <c r="F83" i="4"/>
  <c r="Q15" i="6"/>
  <c r="A20" i="18"/>
  <c r="A51" i="18" s="1"/>
  <c r="A94" i="18" s="1"/>
  <c r="A109" i="12"/>
  <c r="A40" i="17" s="1"/>
  <c r="G43" i="15"/>
  <c r="E24" i="7" s="1"/>
  <c r="C10" i="7"/>
  <c r="F36" i="6"/>
  <c r="G221" i="13"/>
  <c r="A26" i="18"/>
  <c r="A57" i="18" s="1"/>
  <c r="A118" i="18" s="1"/>
  <c r="A115" i="12"/>
  <c r="A46" i="17" s="1"/>
  <c r="A18" i="18"/>
  <c r="A49" i="18" s="1"/>
  <c r="A87" i="18" s="1"/>
  <c r="A107" i="12"/>
  <c r="A38" i="17" s="1"/>
  <c r="A27" i="14"/>
  <c r="A51" i="14" s="1"/>
  <c r="A106" i="14" s="1"/>
  <c r="A106" i="11"/>
  <c r="A23" i="17" s="1"/>
  <c r="B108" i="12"/>
  <c r="F20" i="12"/>
  <c r="H20" i="12" s="1"/>
  <c r="F21" i="12"/>
  <c r="H21" i="12" s="1"/>
  <c r="B109" i="12"/>
  <c r="A19" i="14"/>
  <c r="A43" i="14" s="1"/>
  <c r="A80" i="14" s="1"/>
  <c r="A98" i="11"/>
  <c r="A15" i="17" s="1"/>
  <c r="B48" i="12"/>
  <c r="B76" i="12"/>
  <c r="A35" i="18"/>
  <c r="A63" i="18" s="1"/>
  <c r="A127" i="18" s="1"/>
  <c r="A124" i="12"/>
  <c r="A55" i="17" s="1"/>
  <c r="A21" i="14"/>
  <c r="A45" i="14" s="1"/>
  <c r="A87" i="14" s="1"/>
  <c r="A100" i="11"/>
  <c r="C43" i="16"/>
  <c r="F177" i="14"/>
  <c r="D23" i="7" s="1"/>
  <c r="D54" i="7" s="1"/>
  <c r="E39" i="16"/>
  <c r="E9" i="15"/>
  <c r="D10" i="15"/>
  <c r="F21" i="15" s="1"/>
  <c r="F23" i="15" s="1"/>
  <c r="F33" i="14"/>
  <c r="E34" i="14"/>
  <c r="A25" i="18"/>
  <c r="A56" i="18" s="1"/>
  <c r="A114" i="18" s="1"/>
  <c r="A114" i="12"/>
  <c r="A45" i="17" s="1"/>
  <c r="A17" i="18"/>
  <c r="A48" i="18" s="1"/>
  <c r="A83" i="18" s="1"/>
  <c r="A106" i="12"/>
  <c r="A37" i="17" s="1"/>
  <c r="A25" i="14"/>
  <c r="A49" i="14" s="1"/>
  <c r="A100" i="14" s="1"/>
  <c r="A104" i="11"/>
  <c r="A21" i="17" s="1"/>
  <c r="A30" i="14"/>
  <c r="A54" i="14" s="1"/>
  <c r="A115" i="14" s="1"/>
  <c r="A109" i="11"/>
  <c r="A27" i="17" s="1"/>
  <c r="B126" i="12"/>
  <c r="F40" i="12"/>
  <c r="H40" i="12" s="1"/>
  <c r="F19" i="12"/>
  <c r="H19" i="12" s="1"/>
  <c r="B107" i="12"/>
  <c r="A18" i="14"/>
  <c r="A42" i="14" s="1"/>
  <c r="A77" i="14" s="1"/>
  <c r="A97" i="11"/>
  <c r="A14" i="17" s="1"/>
  <c r="D30" i="17"/>
  <c r="D83" i="17" s="1"/>
  <c r="D113" i="11"/>
  <c r="B99" i="11"/>
  <c r="F21" i="11"/>
  <c r="H21" i="11" s="1"/>
  <c r="F33" i="7"/>
  <c r="G83" i="4"/>
  <c r="F19" i="4"/>
  <c r="C25" i="7" s="1"/>
  <c r="A28" i="18"/>
  <c r="A59" i="18" s="1"/>
  <c r="A120" i="18" s="1"/>
  <c r="A117" i="12"/>
  <c r="A48" i="17" s="1"/>
  <c r="D34" i="12"/>
  <c r="D36" i="12"/>
  <c r="D33" i="12"/>
  <c r="D35" i="12"/>
  <c r="D25" i="11"/>
  <c r="D24" i="11"/>
  <c r="E83" i="4"/>
  <c r="D33" i="7"/>
  <c r="G268" i="17"/>
  <c r="G266" i="17"/>
  <c r="G243" i="17"/>
  <c r="G267" i="17"/>
  <c r="G214" i="17"/>
  <c r="G265" i="17"/>
  <c r="G205" i="17"/>
  <c r="H124" i="17"/>
  <c r="G301" i="13"/>
  <c r="E22" i="7" s="1"/>
  <c r="G280" i="13"/>
  <c r="G279" i="13"/>
  <c r="G255" i="13"/>
  <c r="G222" i="13"/>
  <c r="A24" i="18"/>
  <c r="A55" i="18" s="1"/>
  <c r="A110" i="18" s="1"/>
  <c r="A113" i="12"/>
  <c r="A44" i="17" s="1"/>
  <c r="A16" i="18"/>
  <c r="A47" i="18" s="1"/>
  <c r="A79" i="18" s="1"/>
  <c r="A105" i="12"/>
  <c r="A36" i="17" s="1"/>
  <c r="L14" i="12"/>
  <c r="F74" i="12" s="1"/>
  <c r="F13" i="18" s="1"/>
  <c r="K14" i="12"/>
  <c r="E74" i="12" s="1"/>
  <c r="E13" i="18" s="1"/>
  <c r="B102" i="12"/>
  <c r="F14" i="12"/>
  <c r="H14" i="12" s="1"/>
  <c r="N14" i="12"/>
  <c r="H74" i="12" s="1"/>
  <c r="H13" i="18" s="1"/>
  <c r="M14" i="12"/>
  <c r="G74" i="12" s="1"/>
  <c r="G13" i="18" s="1"/>
  <c r="J14" i="12"/>
  <c r="D74" i="12" s="1"/>
  <c r="D13" i="18" s="1"/>
  <c r="F39" i="12"/>
  <c r="H39" i="12" s="1"/>
  <c r="B125" i="12"/>
  <c r="A17" i="14"/>
  <c r="A41" i="14" s="1"/>
  <c r="A72" i="14" s="1"/>
  <c r="A96" i="11"/>
  <c r="A13" i="17" s="1"/>
  <c r="D218" i="17"/>
  <c r="D151" i="17"/>
  <c r="B94" i="11"/>
  <c r="F16" i="11"/>
  <c r="H16" i="11" s="1"/>
  <c r="B33" i="7"/>
  <c r="B18" i="8" s="1"/>
  <c r="C83" i="4"/>
  <c r="F180" i="18"/>
  <c r="F181" i="18"/>
  <c r="G149" i="18"/>
  <c r="A31" i="18"/>
  <c r="A120" i="12"/>
  <c r="A51" i="17" s="1"/>
  <c r="A23" i="18"/>
  <c r="A54" i="18" s="1"/>
  <c r="A106" i="18" s="1"/>
  <c r="A112" i="12"/>
  <c r="A43" i="17" s="1"/>
  <c r="A15" i="18"/>
  <c r="A46" i="18" s="1"/>
  <c r="A75" i="18" s="1"/>
  <c r="A104" i="12"/>
  <c r="A35" i="17" s="1"/>
  <c r="A151" i="17"/>
  <c r="A218" i="17" s="1"/>
  <c r="A83" i="17"/>
  <c r="A29" i="14"/>
  <c r="A53" i="14" s="1"/>
  <c r="A112" i="14" s="1"/>
  <c r="A108" i="11"/>
  <c r="A25" i="17" s="1"/>
  <c r="B103" i="12"/>
  <c r="F15" i="12"/>
  <c r="H15" i="12" s="1"/>
  <c r="B110" i="12"/>
  <c r="F22" i="12"/>
  <c r="H22" i="12" s="1"/>
  <c r="A16" i="14"/>
  <c r="A40" i="14" s="1"/>
  <c r="A69" i="14" s="1"/>
  <c r="A95" i="11"/>
  <c r="A12" i="17" s="1"/>
  <c r="A26" i="14"/>
  <c r="A50" i="14" s="1"/>
  <c r="A103" i="14" s="1"/>
  <c r="A105" i="11"/>
  <c r="A22" i="17" s="1"/>
  <c r="B98" i="11"/>
  <c r="F20" i="11"/>
  <c r="H20" i="11" s="1"/>
  <c r="F19" i="11"/>
  <c r="H19" i="11" s="1"/>
  <c r="H52" i="4"/>
  <c r="E52" i="4"/>
  <c r="G52" i="4"/>
  <c r="K51" i="4"/>
  <c r="F52" i="4"/>
  <c r="D52" i="4"/>
  <c r="C52" i="4"/>
  <c r="C53" i="4" s="1"/>
  <c r="I52" i="4"/>
  <c r="B105" i="12"/>
  <c r="F17" i="12"/>
  <c r="H17" i="12" s="1"/>
  <c r="E273" i="17"/>
  <c r="A37" i="18"/>
  <c r="A65" i="18" s="1"/>
  <c r="A135" i="18" s="1"/>
  <c r="A126" i="12"/>
  <c r="A57" i="17" s="1"/>
  <c r="A30" i="18"/>
  <c r="A61" i="18" s="1"/>
  <c r="A122" i="18" s="1"/>
  <c r="A119" i="12"/>
  <c r="A50" i="17" s="1"/>
  <c r="A22" i="18"/>
  <c r="A53" i="18" s="1"/>
  <c r="A102" i="18" s="1"/>
  <c r="A111" i="12"/>
  <c r="A42" i="17" s="1"/>
  <c r="A14" i="18"/>
  <c r="A45" i="18" s="1"/>
  <c r="A71" i="18" s="1"/>
  <c r="A103" i="12"/>
  <c r="A34" i="17" s="1"/>
  <c r="D28" i="12"/>
  <c r="D25" i="12"/>
  <c r="D30" i="12"/>
  <c r="D27" i="12"/>
  <c r="D24" i="12"/>
  <c r="D29" i="12"/>
  <c r="D26" i="12"/>
  <c r="D31" i="12"/>
  <c r="A23" i="14"/>
  <c r="A47" i="14" s="1"/>
  <c r="A94" i="14" s="1"/>
  <c r="A102" i="11"/>
  <c r="A19" i="17" s="1"/>
  <c r="A15" i="14"/>
  <c r="A39" i="14" s="1"/>
  <c r="A65" i="14" s="1"/>
  <c r="A94" i="11"/>
  <c r="A11" i="17" s="1"/>
  <c r="M14" i="11"/>
  <c r="L14" i="11"/>
  <c r="K14" i="11"/>
  <c r="J14" i="11"/>
  <c r="F14" i="11"/>
  <c r="H14" i="11" s="1"/>
  <c r="N14" i="11"/>
  <c r="B100" i="11"/>
  <c r="C100" i="11" s="1"/>
  <c r="D100" i="11" s="1"/>
  <c r="E100" i="11" s="1"/>
  <c r="F100" i="11" s="1"/>
  <c r="G100" i="11" s="1"/>
  <c r="H100" i="11" s="1"/>
  <c r="F22" i="11"/>
  <c r="H22" i="11" s="1"/>
  <c r="G11" i="4"/>
  <c r="G12" i="4"/>
  <c r="G13" i="4"/>
  <c r="G14" i="4"/>
  <c r="H4" i="4"/>
  <c r="G15" i="4"/>
  <c r="G16" i="4"/>
  <c r="G8" i="4"/>
  <c r="G17" i="4"/>
  <c r="G9" i="4"/>
  <c r="G10" i="4"/>
  <c r="E41" i="18"/>
  <c r="F40" i="18"/>
  <c r="G152" i="17"/>
  <c r="G32" i="16"/>
  <c r="G199" i="13"/>
  <c r="A36" i="18"/>
  <c r="A64" i="18" s="1"/>
  <c r="A131" i="18" s="1"/>
  <c r="A125" i="12"/>
  <c r="A56" i="17" s="1"/>
  <c r="A29" i="18"/>
  <c r="A60" i="18" s="1"/>
  <c r="A121" i="18" s="1"/>
  <c r="A118" i="12"/>
  <c r="A49" i="17" s="1"/>
  <c r="A21" i="18"/>
  <c r="A52" i="18" s="1"/>
  <c r="A98" i="18" s="1"/>
  <c r="A110" i="12"/>
  <c r="A41" i="17" s="1"/>
  <c r="A13" i="18"/>
  <c r="A44" i="18" s="1"/>
  <c r="A67" i="18" s="1"/>
  <c r="A102" i="12"/>
  <c r="A33" i="17" s="1"/>
  <c r="A150" i="17"/>
  <c r="A217" i="17" s="1"/>
  <c r="A82" i="17"/>
  <c r="A28" i="14"/>
  <c r="A52" i="14" s="1"/>
  <c r="A109" i="14" s="1"/>
  <c r="A107" i="11"/>
  <c r="A24" i="17" s="1"/>
  <c r="B106" i="12"/>
  <c r="F18" i="12"/>
  <c r="H18" i="12" s="1"/>
  <c r="A22" i="14"/>
  <c r="A46" i="14" s="1"/>
  <c r="A91" i="14" s="1"/>
  <c r="A101" i="11"/>
  <c r="A18" i="17" s="1"/>
  <c r="A14" i="14"/>
  <c r="A38" i="14" s="1"/>
  <c r="A62" i="14" s="1"/>
  <c r="A93" i="11"/>
  <c r="A10" i="17" s="1"/>
  <c r="A106" i="17"/>
  <c r="A174" i="17"/>
  <c r="F15" i="11"/>
  <c r="H15" i="11" s="1"/>
  <c r="F17" i="11"/>
  <c r="H17" i="11" s="1"/>
  <c r="D83" i="4"/>
  <c r="C33" i="7"/>
  <c r="P15" i="6"/>
  <c r="K45" i="4"/>
  <c r="A141" i="17" l="1"/>
  <c r="A208" i="17" s="1"/>
  <c r="C19" i="9"/>
  <c r="C152" i="10"/>
  <c r="G34" i="4"/>
  <c r="D34" i="4"/>
  <c r="I34" i="4"/>
  <c r="C34" i="4"/>
  <c r="C35" i="4" s="1"/>
  <c r="E34" i="4"/>
  <c r="F34" i="4"/>
  <c r="H34" i="4"/>
  <c r="E58" i="4"/>
  <c r="G58" i="4"/>
  <c r="F58" i="4"/>
  <c r="H58" i="4"/>
  <c r="I58" i="4"/>
  <c r="C58" i="4"/>
  <c r="C59" i="4" s="1"/>
  <c r="D58" i="4"/>
  <c r="F45" i="15"/>
  <c r="F47" i="15" s="1"/>
  <c r="H40" i="4"/>
  <c r="I40" i="4"/>
  <c r="D40" i="4"/>
  <c r="E40" i="4"/>
  <c r="F40" i="4"/>
  <c r="G40" i="4"/>
  <c r="C40" i="4"/>
  <c r="C41" i="4" s="1"/>
  <c r="I25" i="7"/>
  <c r="J21" i="7"/>
  <c r="D17" i="7"/>
  <c r="F8" i="2"/>
  <c r="G39" i="16"/>
  <c r="G273" i="17"/>
  <c r="F199" i="13"/>
  <c r="F48" i="6"/>
  <c r="C17" i="7"/>
  <c r="J17" i="7" s="1"/>
  <c r="J25" i="7" s="1"/>
  <c r="G34" i="15"/>
  <c r="E17" i="7" s="1"/>
  <c r="K39" i="4"/>
  <c r="K40" i="4" s="1"/>
  <c r="K41" i="4" s="1"/>
  <c r="F6" i="2"/>
  <c r="C17" i="9"/>
  <c r="C61" i="4"/>
  <c r="K33" i="4"/>
  <c r="C18" i="8"/>
  <c r="D18" i="8" s="1"/>
  <c r="E18" i="8" s="1"/>
  <c r="F18" i="8" s="1"/>
  <c r="G18" i="8" s="1"/>
  <c r="H18" i="8" s="1"/>
  <c r="C164" i="10"/>
  <c r="C128" i="10"/>
  <c r="C23" i="9"/>
  <c r="C140" i="10"/>
  <c r="C26" i="7"/>
  <c r="G33" i="6"/>
  <c r="D45" i="4"/>
  <c r="B42" i="11"/>
  <c r="B67" i="11"/>
  <c r="A140" i="17"/>
  <c r="A207" i="17" s="1"/>
  <c r="A72" i="17"/>
  <c r="F25" i="12"/>
  <c r="H25" i="12" s="1"/>
  <c r="B112" i="12"/>
  <c r="A110" i="17"/>
  <c r="A178" i="17"/>
  <c r="A242" i="17" s="1"/>
  <c r="B48" i="11"/>
  <c r="B73" i="11"/>
  <c r="B47" i="12"/>
  <c r="B75" i="12"/>
  <c r="A164" i="17"/>
  <c r="A231" i="17" s="1"/>
  <c r="A96" i="17"/>
  <c r="C11" i="17"/>
  <c r="C64" i="17" s="1"/>
  <c r="C94" i="11"/>
  <c r="A165" i="17"/>
  <c r="A232" i="17" s="1"/>
  <c r="A97" i="17"/>
  <c r="E58" i="10"/>
  <c r="F94" i="10"/>
  <c r="E108" i="10"/>
  <c r="F12" i="10"/>
  <c r="B105" i="11"/>
  <c r="D10" i="7"/>
  <c r="G36" i="6"/>
  <c r="B111" i="11"/>
  <c r="B110" i="11"/>
  <c r="B53" i="12"/>
  <c r="B81" i="12"/>
  <c r="F108" i="10"/>
  <c r="G94" i="10"/>
  <c r="F58" i="10"/>
  <c r="G12" i="10"/>
  <c r="C55" i="17"/>
  <c r="C108" i="17" s="1"/>
  <c r="C124" i="12"/>
  <c r="B43" i="11"/>
  <c r="B68" i="11"/>
  <c r="B50" i="12"/>
  <c r="B78" i="12"/>
  <c r="A162" i="17"/>
  <c r="A229" i="17" s="1"/>
  <c r="A94" i="17"/>
  <c r="G19" i="4"/>
  <c r="D25" i="7" s="1"/>
  <c r="B115" i="12"/>
  <c r="F28" i="12"/>
  <c r="H28" i="12" s="1"/>
  <c r="C15" i="17"/>
  <c r="C68" i="17" s="1"/>
  <c r="C98" i="11"/>
  <c r="C34" i="17"/>
  <c r="C87" i="17" s="1"/>
  <c r="C103" i="12"/>
  <c r="B108" i="11"/>
  <c r="C38" i="17"/>
  <c r="C91" i="17" s="1"/>
  <c r="C107" i="12"/>
  <c r="A158" i="17"/>
  <c r="A225" i="17" s="1"/>
  <c r="A90" i="17"/>
  <c r="F9" i="15"/>
  <c r="E10" i="15"/>
  <c r="G21" i="15" s="1"/>
  <c r="G23" i="15" s="1"/>
  <c r="A108" i="17"/>
  <c r="A176" i="17"/>
  <c r="A240" i="17" s="1"/>
  <c r="B15" i="18"/>
  <c r="B46" i="18" s="1"/>
  <c r="C76" i="12"/>
  <c r="B52" i="12"/>
  <c r="B80" i="12"/>
  <c r="B46" i="11"/>
  <c r="B71" i="11"/>
  <c r="B95" i="12"/>
  <c r="B67" i="12"/>
  <c r="A130" i="17"/>
  <c r="A197" i="17" s="1"/>
  <c r="A62" i="17"/>
  <c r="C12" i="17"/>
  <c r="C65" i="17" s="1"/>
  <c r="C95" i="11"/>
  <c r="C10" i="17"/>
  <c r="C63" i="17" s="1"/>
  <c r="C93" i="11"/>
  <c r="C37" i="17"/>
  <c r="C90" i="17" s="1"/>
  <c r="C106" i="12"/>
  <c r="G40" i="18"/>
  <c r="F41" i="18"/>
  <c r="F44" i="18" s="1"/>
  <c r="B118" i="12"/>
  <c r="F31" i="12"/>
  <c r="H31" i="12" s="1"/>
  <c r="A155" i="17"/>
  <c r="A222" i="17" s="1"/>
  <c r="A87" i="17"/>
  <c r="K52" i="4"/>
  <c r="K53" i="4" s="1"/>
  <c r="A143" i="17"/>
  <c r="A210" i="17" s="1"/>
  <c r="A75" i="17"/>
  <c r="A146" i="17"/>
  <c r="A213" i="17" s="1"/>
  <c r="A78" i="17"/>
  <c r="A104" i="17"/>
  <c r="A172" i="17"/>
  <c r="F185" i="18"/>
  <c r="B46" i="12"/>
  <c r="B74" i="12"/>
  <c r="B13" i="18" s="1"/>
  <c r="B103" i="11"/>
  <c r="B121" i="12"/>
  <c r="F35" i="12"/>
  <c r="H35" i="12" s="1"/>
  <c r="G108" i="10"/>
  <c r="H12" i="10"/>
  <c r="H94" i="10"/>
  <c r="G58" i="10"/>
  <c r="B51" i="12"/>
  <c r="B79" i="12"/>
  <c r="E33" i="6"/>
  <c r="B37" i="13"/>
  <c r="B94" i="13" s="1"/>
  <c r="C48" i="12"/>
  <c r="C39" i="17"/>
  <c r="C92" i="17" s="1"/>
  <c r="C108" i="12"/>
  <c r="A161" i="17"/>
  <c r="A228" i="17" s="1"/>
  <c r="A93" i="17"/>
  <c r="C13" i="17"/>
  <c r="C66" i="17" s="1"/>
  <c r="C96" i="11"/>
  <c r="C54" i="17"/>
  <c r="C107" i="17" s="1"/>
  <c r="C123" i="12"/>
  <c r="A107" i="17"/>
  <c r="A175" i="17"/>
  <c r="A239" i="17" s="1"/>
  <c r="A145" i="17"/>
  <c r="A212" i="17" s="1"/>
  <c r="A77" i="17"/>
  <c r="A102" i="17"/>
  <c r="A170" i="17"/>
  <c r="A237" i="17" s="1"/>
  <c r="B113" i="12"/>
  <c r="F26" i="12"/>
  <c r="H26" i="12" s="1"/>
  <c r="B49" i="12"/>
  <c r="B77" i="12"/>
  <c r="A134" i="17"/>
  <c r="A201" i="17" s="1"/>
  <c r="A66" i="17"/>
  <c r="C33" i="17"/>
  <c r="C86" i="17" s="1"/>
  <c r="C102" i="12"/>
  <c r="H301" i="13"/>
  <c r="F22" i="7" s="1"/>
  <c r="H280" i="13"/>
  <c r="H279" i="13"/>
  <c r="H255" i="13"/>
  <c r="H221" i="13"/>
  <c r="H254" i="13"/>
  <c r="H223" i="13"/>
  <c r="H222" i="13"/>
  <c r="B106" i="11"/>
  <c r="F33" i="12"/>
  <c r="H33" i="12" s="1"/>
  <c r="B119" i="12"/>
  <c r="B49" i="11"/>
  <c r="B74" i="11"/>
  <c r="B98" i="12"/>
  <c r="B70" i="12"/>
  <c r="A166" i="17"/>
  <c r="A233" i="17" s="1"/>
  <c r="A98" i="17"/>
  <c r="A144" i="17"/>
  <c r="A211" i="17" s="1"/>
  <c r="A76" i="17"/>
  <c r="D35" i="17"/>
  <c r="D88" i="17" s="1"/>
  <c r="D104" i="12"/>
  <c r="A149" i="17"/>
  <c r="A216" i="17" s="1"/>
  <c r="A81" i="17"/>
  <c r="H12" i="4"/>
  <c r="H13" i="4"/>
  <c r="H14" i="4"/>
  <c r="I4" i="4"/>
  <c r="H15" i="4"/>
  <c r="H16" i="4"/>
  <c r="H8" i="4"/>
  <c r="H17" i="4"/>
  <c r="H9" i="4"/>
  <c r="H10" i="4"/>
  <c r="H11" i="4"/>
  <c r="B116" i="12"/>
  <c r="F29" i="12"/>
  <c r="H29" i="12" s="1"/>
  <c r="A163" i="17"/>
  <c r="A230" i="17" s="1"/>
  <c r="A95" i="17"/>
  <c r="C36" i="17"/>
  <c r="C89" i="17" s="1"/>
  <c r="C105" i="12"/>
  <c r="A133" i="17"/>
  <c r="A200" i="17" s="1"/>
  <c r="A65" i="17"/>
  <c r="E44" i="18"/>
  <c r="F24" i="11"/>
  <c r="H24" i="11" s="1"/>
  <c r="F36" i="12"/>
  <c r="H36" i="12" s="1"/>
  <c r="B122" i="12"/>
  <c r="C16" i="17"/>
  <c r="C69" i="17" s="1"/>
  <c r="C99" i="11"/>
  <c r="C57" i="17"/>
  <c r="C110" i="17" s="1"/>
  <c r="C126" i="12"/>
  <c r="D148" i="10"/>
  <c r="D136" i="10"/>
  <c r="D160" i="10"/>
  <c r="D124" i="10"/>
  <c r="D34" i="10"/>
  <c r="D223" i="17"/>
  <c r="D156" i="17"/>
  <c r="K46" i="4"/>
  <c r="K48" i="4" s="1"/>
  <c r="D58" i="10"/>
  <c r="D108" i="10"/>
  <c r="E12" i="10"/>
  <c r="E94" i="10"/>
  <c r="A131" i="17"/>
  <c r="A198" i="17" s="1"/>
  <c r="A63" i="17"/>
  <c r="A109" i="17"/>
  <c r="A177" i="17"/>
  <c r="A241" i="17" s="1"/>
  <c r="B50" i="11"/>
  <c r="B75" i="11"/>
  <c r="C9" i="17"/>
  <c r="C62" i="17" s="1"/>
  <c r="C92" i="11"/>
  <c r="B111" i="12"/>
  <c r="F24" i="12"/>
  <c r="H24" i="12" s="1"/>
  <c r="C56" i="17"/>
  <c r="C109" i="17" s="1"/>
  <c r="C125" i="12"/>
  <c r="F33" i="6"/>
  <c r="B104" i="11"/>
  <c r="B120" i="12"/>
  <c r="F34" i="12"/>
  <c r="H34" i="12" s="1"/>
  <c r="E30" i="17"/>
  <c r="E83" i="17" s="1"/>
  <c r="E113" i="11"/>
  <c r="A148" i="17"/>
  <c r="A215" i="17" s="1"/>
  <c r="A80" i="17"/>
  <c r="H199" i="13"/>
  <c r="G177" i="14"/>
  <c r="E23" i="7" s="1"/>
  <c r="E54" i="7" s="1"/>
  <c r="B86" i="11"/>
  <c r="C86" i="11" s="1"/>
  <c r="D86" i="11" s="1"/>
  <c r="E86" i="11" s="1"/>
  <c r="F86" i="11" s="1"/>
  <c r="G86" i="11" s="1"/>
  <c r="H86" i="11" s="1"/>
  <c r="B61" i="11"/>
  <c r="A136" i="17"/>
  <c r="A203" i="17" s="1"/>
  <c r="A68" i="17"/>
  <c r="A159" i="17"/>
  <c r="A226" i="17" s="1"/>
  <c r="A91" i="17"/>
  <c r="A137" i="17"/>
  <c r="A204" i="17" s="1"/>
  <c r="A69" i="17"/>
  <c r="A160" i="17"/>
  <c r="A227" i="17" s="1"/>
  <c r="A92" i="17"/>
  <c r="A132" i="17"/>
  <c r="A199" i="17" s="1"/>
  <c r="A64" i="17"/>
  <c r="F27" i="12"/>
  <c r="H27" i="12" s="1"/>
  <c r="B114" i="12"/>
  <c r="A103" i="17"/>
  <c r="A171" i="17"/>
  <c r="A238" i="17" s="1"/>
  <c r="C54" i="4"/>
  <c r="D51" i="4" s="1"/>
  <c r="D54" i="4" s="1"/>
  <c r="E51" i="4" s="1"/>
  <c r="E54" i="4" s="1"/>
  <c r="F51" i="4" s="1"/>
  <c r="F54" i="4" s="1"/>
  <c r="G51" i="4" s="1"/>
  <c r="G54" i="4" s="1"/>
  <c r="H51" i="4" s="1"/>
  <c r="H54" i="4" s="1"/>
  <c r="I51" i="4" s="1"/>
  <c r="I54" i="4" s="1"/>
  <c r="B47" i="11"/>
  <c r="B72" i="11"/>
  <c r="B54" i="12"/>
  <c r="B82" i="12"/>
  <c r="A156" i="17"/>
  <c r="A223" i="17" s="1"/>
  <c r="A88" i="17"/>
  <c r="G181" i="18"/>
  <c r="G180" i="18"/>
  <c r="H149" i="18"/>
  <c r="C108" i="10"/>
  <c r="D12" i="10"/>
  <c r="D94" i="10"/>
  <c r="C58" i="10"/>
  <c r="B97" i="12"/>
  <c r="B69" i="12"/>
  <c r="A157" i="17"/>
  <c r="A224" i="17" s="1"/>
  <c r="A89" i="17"/>
  <c r="H265" i="17"/>
  <c r="H267" i="17"/>
  <c r="H266" i="17"/>
  <c r="H243" i="17"/>
  <c r="H214" i="17"/>
  <c r="H268" i="17"/>
  <c r="H205" i="17"/>
  <c r="I124" i="17"/>
  <c r="H152" i="17"/>
  <c r="H219" i="17"/>
  <c r="B107" i="11"/>
  <c r="A101" i="17"/>
  <c r="A169" i="17"/>
  <c r="A236" i="17" s="1"/>
  <c r="E218" i="17"/>
  <c r="E151" i="17"/>
  <c r="G43" i="16"/>
  <c r="G49" i="16" s="1"/>
  <c r="F43" i="16"/>
  <c r="F49" i="16" s="1"/>
  <c r="E43" i="16"/>
  <c r="E49" i="16" s="1"/>
  <c r="H43" i="16"/>
  <c r="B109" i="11"/>
  <c r="C109" i="11" s="1"/>
  <c r="D109" i="11" s="1"/>
  <c r="E109" i="11" s="1"/>
  <c r="F109" i="11" s="1"/>
  <c r="G109" i="11" s="1"/>
  <c r="H109" i="11" s="1"/>
  <c r="H43" i="15"/>
  <c r="F24" i="7" s="1"/>
  <c r="H52" i="16"/>
  <c r="H56" i="16" s="1"/>
  <c r="I23" i="16"/>
  <c r="H38" i="16"/>
  <c r="H37" i="16"/>
  <c r="H36" i="16"/>
  <c r="H30" i="16"/>
  <c r="H31" i="16"/>
  <c r="H29" i="16"/>
  <c r="H28" i="16"/>
  <c r="H35" i="16"/>
  <c r="H44" i="16"/>
  <c r="H33" i="16"/>
  <c r="H32" i="16"/>
  <c r="H34" i="16"/>
  <c r="C47" i="4"/>
  <c r="B45" i="11"/>
  <c r="B70" i="11"/>
  <c r="A139" i="17"/>
  <c r="A206" i="17" s="1"/>
  <c r="A71" i="17"/>
  <c r="A154" i="17"/>
  <c r="A221" i="17" s="1"/>
  <c r="A86" i="17"/>
  <c r="F30" i="12"/>
  <c r="H30" i="12" s="1"/>
  <c r="B117" i="12"/>
  <c r="D53" i="4"/>
  <c r="E53" i="4" s="1"/>
  <c r="F53" i="4" s="1"/>
  <c r="G53" i="4" s="1"/>
  <c r="H53" i="4" s="1"/>
  <c r="I53" i="4" s="1"/>
  <c r="C14" i="17"/>
  <c r="C67" i="17" s="1"/>
  <c r="C97" i="11"/>
  <c r="C41" i="17"/>
  <c r="C94" i="17" s="1"/>
  <c r="C110" i="12"/>
  <c r="K58" i="4"/>
  <c r="K59" i="4" s="1"/>
  <c r="B44" i="11"/>
  <c r="B69" i="11"/>
  <c r="D44" i="18"/>
  <c r="F25" i="11"/>
  <c r="H25" i="11" s="1"/>
  <c r="A135" i="17"/>
  <c r="A202" i="17" s="1"/>
  <c r="A67" i="17"/>
  <c r="A142" i="17"/>
  <c r="A209" i="17" s="1"/>
  <c r="A74" i="17"/>
  <c r="F34" i="14"/>
  <c r="G33" i="14"/>
  <c r="B112" i="11"/>
  <c r="C40" i="17"/>
  <c r="C93" i="17" s="1"/>
  <c r="C109" i="12"/>
  <c r="A167" i="17"/>
  <c r="A234" i="17" s="1"/>
  <c r="A99" i="17"/>
  <c r="B96" i="12"/>
  <c r="B68" i="12"/>
  <c r="A168" i="17"/>
  <c r="A235" i="17" s="1"/>
  <c r="A100" i="17"/>
  <c r="F12" i="2" l="1"/>
  <c r="D59" i="4"/>
  <c r="E59" i="4" s="1"/>
  <c r="F59" i="4" s="1"/>
  <c r="G185" i="18"/>
  <c r="C60" i="4"/>
  <c r="D57" i="4" s="1"/>
  <c r="D60" i="4" s="1"/>
  <c r="E57" i="4" s="1"/>
  <c r="E60" i="4" s="1"/>
  <c r="F57" i="4" s="1"/>
  <c r="D128" i="10"/>
  <c r="K17" i="7"/>
  <c r="K25" i="7" s="1"/>
  <c r="H48" i="6"/>
  <c r="D35" i="4"/>
  <c r="D62" i="4"/>
  <c r="C32" i="7" s="1"/>
  <c r="D57" i="10" s="1"/>
  <c r="B13" i="8"/>
  <c r="D61" i="4"/>
  <c r="G45" i="15"/>
  <c r="G47" i="15" s="1"/>
  <c r="C42" i="4"/>
  <c r="D39" i="4" s="1"/>
  <c r="D42" i="4" s="1"/>
  <c r="E39" i="4" s="1"/>
  <c r="E42" i="4" s="1"/>
  <c r="D41" i="4"/>
  <c r="E41" i="4" s="1"/>
  <c r="K61" i="4"/>
  <c r="L61" i="4" s="1"/>
  <c r="K34" i="4"/>
  <c r="K35" i="4" s="1"/>
  <c r="C62" i="4"/>
  <c r="B32" i="7" s="1"/>
  <c r="C42" i="10" s="1"/>
  <c r="C36" i="4"/>
  <c r="D26" i="7"/>
  <c r="D23" i="9"/>
  <c r="D164" i="10"/>
  <c r="D140" i="10"/>
  <c r="D152" i="10"/>
  <c r="D16" i="17"/>
  <c r="D69" i="17" s="1"/>
  <c r="D99" i="11"/>
  <c r="B60" i="12"/>
  <c r="B88" i="12"/>
  <c r="H19" i="4"/>
  <c r="E25" i="7" s="1"/>
  <c r="E26" i="7" s="1"/>
  <c r="E35" i="17"/>
  <c r="E88" i="17" s="1"/>
  <c r="E104" i="12"/>
  <c r="C23" i="17"/>
  <c r="C76" i="17" s="1"/>
  <c r="C106" i="11"/>
  <c r="D54" i="17"/>
  <c r="D107" i="17" s="1"/>
  <c r="D123" i="12"/>
  <c r="C37" i="13"/>
  <c r="C94" i="13" s="1"/>
  <c r="D48" i="12"/>
  <c r="B35" i="13"/>
  <c r="C46" i="12"/>
  <c r="D12" i="17"/>
  <c r="D65" i="17" s="1"/>
  <c r="D95" i="11"/>
  <c r="B15" i="13"/>
  <c r="B72" i="13" s="1"/>
  <c r="C46" i="11"/>
  <c r="B83" i="11"/>
  <c r="B58" i="11"/>
  <c r="D15" i="17"/>
  <c r="D68" i="17" s="1"/>
  <c r="D98" i="11"/>
  <c r="B39" i="13"/>
  <c r="B96" i="13" s="1"/>
  <c r="C50" i="12"/>
  <c r="E136" i="10"/>
  <c r="E160" i="10"/>
  <c r="E124" i="10"/>
  <c r="E148" i="10"/>
  <c r="E34" i="10"/>
  <c r="B14" i="18"/>
  <c r="B45" i="18" s="1"/>
  <c r="C75" i="12"/>
  <c r="D241" i="17"/>
  <c r="D177" i="17"/>
  <c r="L45" i="4"/>
  <c r="B13" i="13"/>
  <c r="B70" i="13" s="1"/>
  <c r="C44" i="11"/>
  <c r="C48" i="17"/>
  <c r="C101" i="17" s="1"/>
  <c r="C117" i="12"/>
  <c r="B14" i="13"/>
  <c r="B71" i="13" s="1"/>
  <c r="C45" i="11"/>
  <c r="B82" i="11"/>
  <c r="B57" i="11"/>
  <c r="B58" i="13"/>
  <c r="B115" i="13" s="1"/>
  <c r="C69" i="12"/>
  <c r="I149" i="18"/>
  <c r="H180" i="18"/>
  <c r="H181" i="18"/>
  <c r="B18" i="14"/>
  <c r="B42" i="14" s="1"/>
  <c r="C72" i="11"/>
  <c r="C21" i="17"/>
  <c r="C74" i="17" s="1"/>
  <c r="C104" i="11"/>
  <c r="K47" i="4"/>
  <c r="D204" i="17"/>
  <c r="D137" i="17"/>
  <c r="C47" i="17"/>
  <c r="C100" i="17" s="1"/>
  <c r="C116" i="12"/>
  <c r="E223" i="17"/>
  <c r="E156" i="17"/>
  <c r="B59" i="13"/>
  <c r="B116" i="13" s="1"/>
  <c r="C70" i="12"/>
  <c r="D239" i="17"/>
  <c r="D175" i="17"/>
  <c r="D259" i="13"/>
  <c r="B146" i="13"/>
  <c r="D205" i="13" s="1"/>
  <c r="H40" i="18"/>
  <c r="H41" i="18" s="1"/>
  <c r="H44" i="18" s="1"/>
  <c r="G41" i="18"/>
  <c r="G44" i="18" s="1"/>
  <c r="D200" i="17"/>
  <c r="D133" i="17"/>
  <c r="C25" i="17"/>
  <c r="C78" i="17" s="1"/>
  <c r="C108" i="11"/>
  <c r="D203" i="17"/>
  <c r="D136" i="17"/>
  <c r="B14" i="14"/>
  <c r="B38" i="14" s="1"/>
  <c r="C68" i="11"/>
  <c r="B36" i="13"/>
  <c r="B93" i="13" s="1"/>
  <c r="C47" i="12"/>
  <c r="B79" i="11"/>
  <c r="B54" i="11"/>
  <c r="D40" i="17"/>
  <c r="D93" i="17" s="1"/>
  <c r="D109" i="12"/>
  <c r="K60" i="4"/>
  <c r="L57" i="4" s="1"/>
  <c r="B61" i="12"/>
  <c r="B89" i="12"/>
  <c r="E57" i="16"/>
  <c r="E59" i="16" s="1"/>
  <c r="E45" i="6"/>
  <c r="C24" i="17"/>
  <c r="C77" i="17" s="1"/>
  <c r="C107" i="11"/>
  <c r="B36" i="18"/>
  <c r="B64" i="18" s="1"/>
  <c r="C97" i="12"/>
  <c r="B16" i="13"/>
  <c r="B73" i="13" s="1"/>
  <c r="C47" i="11"/>
  <c r="B55" i="12"/>
  <c r="B83" i="12"/>
  <c r="C53" i="17"/>
  <c r="C106" i="17" s="1"/>
  <c r="D174" i="17" s="1"/>
  <c r="C122" i="12"/>
  <c r="B37" i="18"/>
  <c r="B65" i="18" s="1"/>
  <c r="C98" i="12"/>
  <c r="B16" i="18"/>
  <c r="B47" i="18" s="1"/>
  <c r="C77" i="12"/>
  <c r="D13" i="17"/>
  <c r="D66" i="17" s="1"/>
  <c r="D96" i="11"/>
  <c r="K54" i="4"/>
  <c r="L51" i="4" s="1"/>
  <c r="D37" i="17"/>
  <c r="D90" i="17" s="1"/>
  <c r="D106" i="12"/>
  <c r="E10" i="7"/>
  <c r="L17" i="7" s="1"/>
  <c r="H36" i="6"/>
  <c r="B59" i="12"/>
  <c r="B87" i="12"/>
  <c r="B12" i="13"/>
  <c r="B69" i="13" s="1"/>
  <c r="C43" i="11"/>
  <c r="B20" i="18"/>
  <c r="B51" i="18" s="1"/>
  <c r="C81" i="12"/>
  <c r="B80" i="11"/>
  <c r="B55" i="11"/>
  <c r="B19" i="14"/>
  <c r="B43" i="14" s="1"/>
  <c r="C73" i="11"/>
  <c r="B13" i="14"/>
  <c r="C67" i="11"/>
  <c r="I43" i="15"/>
  <c r="G24" i="7" s="1"/>
  <c r="B43" i="13"/>
  <c r="B100" i="13" s="1"/>
  <c r="C54" i="12"/>
  <c r="D228" i="17"/>
  <c r="D161" i="17"/>
  <c r="H34" i="15"/>
  <c r="F57" i="16"/>
  <c r="F59" i="16" s="1"/>
  <c r="F45" i="6"/>
  <c r="C42" i="17"/>
  <c r="C95" i="17" s="1"/>
  <c r="C111" i="12"/>
  <c r="B94" i="12"/>
  <c r="B66" i="12"/>
  <c r="C66" i="12" s="1"/>
  <c r="D66" i="12" s="1"/>
  <c r="E66" i="12" s="1"/>
  <c r="F66" i="12" s="1"/>
  <c r="G66" i="12" s="1"/>
  <c r="H66" i="12" s="1"/>
  <c r="I13" i="4"/>
  <c r="I14" i="4"/>
  <c r="J4" i="4"/>
  <c r="I15" i="4"/>
  <c r="I16" i="4"/>
  <c r="I8" i="4"/>
  <c r="I17" i="4"/>
  <c r="I9" i="4"/>
  <c r="I10" i="4"/>
  <c r="I11" i="4"/>
  <c r="I12" i="4"/>
  <c r="B20" i="14"/>
  <c r="B44" i="14" s="1"/>
  <c r="C74" i="11"/>
  <c r="B38" i="13"/>
  <c r="B95" i="13" s="1"/>
  <c r="C49" i="12"/>
  <c r="D201" i="17"/>
  <c r="D134" i="17"/>
  <c r="B65" i="12"/>
  <c r="C65" i="12" s="1"/>
  <c r="D65" i="12" s="1"/>
  <c r="E65" i="12" s="1"/>
  <c r="F65" i="12" s="1"/>
  <c r="G65" i="12" s="1"/>
  <c r="H65" i="12" s="1"/>
  <c r="B93" i="12"/>
  <c r="D225" i="17"/>
  <c r="D158" i="17"/>
  <c r="G9" i="15"/>
  <c r="F10" i="15"/>
  <c r="H21" i="15" s="1"/>
  <c r="H23" i="15" s="1"/>
  <c r="C46" i="17"/>
  <c r="C99" i="17" s="1"/>
  <c r="C115" i="12"/>
  <c r="B42" i="13"/>
  <c r="B99" i="13" s="1"/>
  <c r="C53" i="12"/>
  <c r="C22" i="17"/>
  <c r="C75" i="17" s="1"/>
  <c r="C105" i="11"/>
  <c r="B17" i="13"/>
  <c r="B74" i="13" s="1"/>
  <c r="C48" i="11"/>
  <c r="B11" i="13"/>
  <c r="C42" i="11"/>
  <c r="B87" i="11"/>
  <c r="C87" i="11" s="1"/>
  <c r="D87" i="11" s="1"/>
  <c r="E87" i="11" s="1"/>
  <c r="F87" i="11" s="1"/>
  <c r="G87" i="11" s="1"/>
  <c r="H87" i="11" s="1"/>
  <c r="B62" i="11"/>
  <c r="B77" i="11"/>
  <c r="B52" i="11"/>
  <c r="D41" i="17"/>
  <c r="D94" i="17" s="1"/>
  <c r="D110" i="12"/>
  <c r="C63" i="4"/>
  <c r="B14" i="8" s="1"/>
  <c r="D47" i="4"/>
  <c r="B84" i="11"/>
  <c r="B59" i="11"/>
  <c r="G57" i="16"/>
  <c r="G59" i="16" s="1"/>
  <c r="G45" i="6"/>
  <c r="B30" i="13"/>
  <c r="B87" i="13" s="1"/>
  <c r="C61" i="11"/>
  <c r="F30" i="17"/>
  <c r="F83" i="17" s="1"/>
  <c r="F113" i="11"/>
  <c r="D9" i="17"/>
  <c r="D62" i="17" s="1"/>
  <c r="D92" i="11"/>
  <c r="B51" i="11"/>
  <c r="B76" i="11"/>
  <c r="D36" i="17"/>
  <c r="D89" i="17" s="1"/>
  <c r="D105" i="12"/>
  <c r="B18" i="13"/>
  <c r="B75" i="13" s="1"/>
  <c r="C49" i="11"/>
  <c r="B57" i="12"/>
  <c r="B85" i="12"/>
  <c r="C52" i="17"/>
  <c r="C105" i="17" s="1"/>
  <c r="D173" i="17" s="1"/>
  <c r="C121" i="12"/>
  <c r="D10" i="17"/>
  <c r="D63" i="17" s="1"/>
  <c r="D93" i="11"/>
  <c r="B19" i="18"/>
  <c r="B50" i="18" s="1"/>
  <c r="C80" i="12"/>
  <c r="D55" i="17"/>
  <c r="D108" i="17" s="1"/>
  <c r="D124" i="12"/>
  <c r="B85" i="11"/>
  <c r="B60" i="11"/>
  <c r="D11" i="17"/>
  <c r="D64" i="17" s="1"/>
  <c r="D94" i="11"/>
  <c r="D48" i="4"/>
  <c r="B16" i="14"/>
  <c r="B40" i="14" s="1"/>
  <c r="C70" i="11"/>
  <c r="C19" i="17"/>
  <c r="C72" i="17" s="1"/>
  <c r="C102" i="11"/>
  <c r="I52" i="16"/>
  <c r="I56" i="16" s="1"/>
  <c r="J23" i="16"/>
  <c r="I38" i="16"/>
  <c r="I37" i="16"/>
  <c r="I31" i="16"/>
  <c r="I29" i="16"/>
  <c r="I28" i="16"/>
  <c r="I34" i="16"/>
  <c r="I44" i="16"/>
  <c r="I36" i="16"/>
  <c r="I35" i="16"/>
  <c r="I30" i="16"/>
  <c r="I33" i="16"/>
  <c r="I32" i="16"/>
  <c r="I266" i="17"/>
  <c r="I268" i="17"/>
  <c r="I243" i="17"/>
  <c r="I214" i="17"/>
  <c r="I267" i="17"/>
  <c r="I265" i="17"/>
  <c r="I205" i="17"/>
  <c r="J124" i="17"/>
  <c r="I219" i="17"/>
  <c r="I152" i="17"/>
  <c r="F218" i="17"/>
  <c r="F151" i="17"/>
  <c r="D197" i="17"/>
  <c r="D130" i="17"/>
  <c r="C18" i="17"/>
  <c r="C71" i="17" s="1"/>
  <c r="C101" i="11"/>
  <c r="D224" i="17"/>
  <c r="D157" i="17"/>
  <c r="C50" i="17"/>
  <c r="C103" i="17" s="1"/>
  <c r="C119" i="12"/>
  <c r="D33" i="17"/>
  <c r="D86" i="17" s="1"/>
  <c r="D102" i="12"/>
  <c r="C44" i="17"/>
  <c r="C97" i="17" s="1"/>
  <c r="C113" i="12"/>
  <c r="B18" i="18"/>
  <c r="B49" i="18" s="1"/>
  <c r="C79" i="12"/>
  <c r="B78" i="11"/>
  <c r="B53" i="11"/>
  <c r="B62" i="12"/>
  <c r="B90" i="12"/>
  <c r="D198" i="17"/>
  <c r="D131" i="17"/>
  <c r="B56" i="13"/>
  <c r="B113" i="13" s="1"/>
  <c r="C67" i="12"/>
  <c r="B41" i="13"/>
  <c r="B98" i="13" s="1"/>
  <c r="C52" i="12"/>
  <c r="D240" i="17"/>
  <c r="D176" i="17"/>
  <c r="C27" i="17"/>
  <c r="C80" i="17" s="1"/>
  <c r="C110" i="11"/>
  <c r="D199" i="17"/>
  <c r="D132" i="17"/>
  <c r="C29" i="17"/>
  <c r="C82" i="17" s="1"/>
  <c r="C112" i="11"/>
  <c r="D229" i="17"/>
  <c r="D162" i="17"/>
  <c r="B57" i="13"/>
  <c r="B114" i="13" s="1"/>
  <c r="C68" i="12"/>
  <c r="G34" i="14"/>
  <c r="H33" i="14"/>
  <c r="H34" i="14" s="1"/>
  <c r="D14" i="17"/>
  <c r="D67" i="17" s="1"/>
  <c r="D97" i="11"/>
  <c r="H39" i="16"/>
  <c r="H49" i="16"/>
  <c r="H273" i="17"/>
  <c r="C45" i="17"/>
  <c r="C98" i="17" s="1"/>
  <c r="C114" i="12"/>
  <c r="H177" i="14"/>
  <c r="F23" i="7" s="1"/>
  <c r="F54" i="7" s="1"/>
  <c r="B64" i="12"/>
  <c r="C64" i="12" s="1"/>
  <c r="D64" i="12" s="1"/>
  <c r="E64" i="12" s="1"/>
  <c r="F64" i="12" s="1"/>
  <c r="G64" i="12" s="1"/>
  <c r="H64" i="12" s="1"/>
  <c r="B92" i="12"/>
  <c r="B21" i="14"/>
  <c r="B45" i="14" s="1"/>
  <c r="C75" i="11"/>
  <c r="D57" i="17"/>
  <c r="D110" i="17" s="1"/>
  <c r="D126" i="12"/>
  <c r="B63" i="12"/>
  <c r="B91" i="12"/>
  <c r="I301" i="13"/>
  <c r="G22" i="7" s="1"/>
  <c r="I280" i="13"/>
  <c r="I279" i="13"/>
  <c r="I255" i="13"/>
  <c r="I222" i="13"/>
  <c r="I221" i="13"/>
  <c r="I254" i="13"/>
  <c r="I223" i="13"/>
  <c r="I199" i="13"/>
  <c r="D221" i="17"/>
  <c r="D154" i="17"/>
  <c r="K42" i="4"/>
  <c r="L39" i="4" s="1"/>
  <c r="D39" i="17"/>
  <c r="D92" i="17" s="1"/>
  <c r="D108" i="12"/>
  <c r="B40" i="13"/>
  <c r="B97" i="13" s="1"/>
  <c r="C51" i="12"/>
  <c r="C20" i="17"/>
  <c r="C73" i="17" s="1"/>
  <c r="C103" i="11"/>
  <c r="C49" i="17"/>
  <c r="C102" i="17" s="1"/>
  <c r="C118" i="12"/>
  <c r="B34" i="18"/>
  <c r="B62" i="18" s="1"/>
  <c r="C95" i="12"/>
  <c r="C15" i="18"/>
  <c r="C46" i="18" s="1"/>
  <c r="D76" i="12"/>
  <c r="D38" i="17"/>
  <c r="D91" i="17" s="1"/>
  <c r="D107" i="12"/>
  <c r="D34" i="17"/>
  <c r="D87" i="17" s="1"/>
  <c r="D103" i="12"/>
  <c r="C28" i="17"/>
  <c r="C81" i="17" s="1"/>
  <c r="C111" i="11"/>
  <c r="C43" i="17"/>
  <c r="C96" i="17" s="1"/>
  <c r="C112" i="12"/>
  <c r="B15" i="14"/>
  <c r="B39" i="14" s="1"/>
  <c r="C69" i="11"/>
  <c r="B35" i="18"/>
  <c r="B63" i="18" s="1"/>
  <c r="C96" i="12"/>
  <c r="D202" i="17"/>
  <c r="D135" i="17"/>
  <c r="I43" i="16"/>
  <c r="B21" i="18"/>
  <c r="B52" i="18" s="1"/>
  <c r="C82" i="12"/>
  <c r="B58" i="12"/>
  <c r="B86" i="12"/>
  <c r="C51" i="17"/>
  <c r="C104" i="17" s="1"/>
  <c r="D172" i="17" s="1"/>
  <c r="C120" i="12"/>
  <c r="D56" i="17"/>
  <c r="D109" i="17" s="1"/>
  <c r="D125" i="12"/>
  <c r="B19" i="13"/>
  <c r="B76" i="13" s="1"/>
  <c r="C50" i="11"/>
  <c r="D242" i="17"/>
  <c r="D178" i="17"/>
  <c r="B81" i="11"/>
  <c r="B56" i="11"/>
  <c r="D227" i="17"/>
  <c r="D160" i="17"/>
  <c r="B44" i="18"/>
  <c r="B17" i="14"/>
  <c r="B41" i="14" s="1"/>
  <c r="C71" i="11"/>
  <c r="D226" i="17"/>
  <c r="D159" i="17"/>
  <c r="D222" i="17"/>
  <c r="D155" i="17"/>
  <c r="B17" i="18"/>
  <c r="B48" i="18" s="1"/>
  <c r="C78" i="12"/>
  <c r="B56" i="12"/>
  <c r="B84" i="12"/>
  <c r="B34" i="8" l="1"/>
  <c r="C34" i="8" s="1"/>
  <c r="D34" i="8" s="1"/>
  <c r="E34" i="8" s="1"/>
  <c r="F34" i="8" s="1"/>
  <c r="G34" i="8" s="1"/>
  <c r="H34" i="8" s="1"/>
  <c r="D42" i="10"/>
  <c r="E140" i="10"/>
  <c r="I49" i="16"/>
  <c r="F60" i="4"/>
  <c r="F39" i="4"/>
  <c r="F41" i="4"/>
  <c r="I273" i="17"/>
  <c r="H185" i="18"/>
  <c r="D33" i="4"/>
  <c r="D36" i="4" s="1"/>
  <c r="C9" i="9"/>
  <c r="M61" i="4"/>
  <c r="E61" i="4"/>
  <c r="I34" i="15"/>
  <c r="I45" i="15" s="1"/>
  <c r="C64" i="4"/>
  <c r="C13" i="8"/>
  <c r="K36" i="4"/>
  <c r="L33" i="4" s="1"/>
  <c r="L34" i="4" s="1"/>
  <c r="L35" i="4" s="1"/>
  <c r="K62" i="4"/>
  <c r="B93" i="4" s="1"/>
  <c r="B15" i="8"/>
  <c r="C92" i="4"/>
  <c r="E93" i="10"/>
  <c r="E11" i="10"/>
  <c r="D107" i="10"/>
  <c r="E128" i="10"/>
  <c r="E23" i="9"/>
  <c r="E164" i="10"/>
  <c r="E152" i="10"/>
  <c r="C114" i="17"/>
  <c r="D245" i="17" s="1"/>
  <c r="F152" i="10"/>
  <c r="F140" i="10"/>
  <c r="F23" i="9"/>
  <c r="F164" i="10"/>
  <c r="F128" i="10"/>
  <c r="B25" i="18"/>
  <c r="B56" i="18" s="1"/>
  <c r="C86" i="12"/>
  <c r="E222" i="17"/>
  <c r="E155" i="17"/>
  <c r="C40" i="13"/>
  <c r="C97" i="13" s="1"/>
  <c r="D51" i="12"/>
  <c r="C21" i="14"/>
  <c r="C45" i="14" s="1"/>
  <c r="D75" i="11"/>
  <c r="D233" i="17"/>
  <c r="D166" i="17"/>
  <c r="C41" i="13"/>
  <c r="C98" i="13" s="1"/>
  <c r="D52" i="12"/>
  <c r="B29" i="18"/>
  <c r="B60" i="18" s="1"/>
  <c r="C90" i="12"/>
  <c r="E33" i="17"/>
  <c r="E86" i="17" s="1"/>
  <c r="E102" i="12"/>
  <c r="C115" i="17"/>
  <c r="B70" i="14"/>
  <c r="D142" i="14" s="1"/>
  <c r="K142" i="14" s="1"/>
  <c r="D155" i="14"/>
  <c r="B71" i="14"/>
  <c r="E240" i="17"/>
  <c r="E176" i="17"/>
  <c r="B46" i="13"/>
  <c r="B103" i="13" s="1"/>
  <c r="C57" i="12"/>
  <c r="G218" i="17"/>
  <c r="G151" i="17"/>
  <c r="D63" i="4"/>
  <c r="C14" i="8" s="1"/>
  <c r="E47" i="4"/>
  <c r="D264" i="13"/>
  <c r="B151" i="13"/>
  <c r="D210" i="13" s="1"/>
  <c r="B33" i="18"/>
  <c r="C94" i="12"/>
  <c r="H45" i="15"/>
  <c r="H47" i="15" s="1"/>
  <c r="F17" i="7"/>
  <c r="I48" i="6"/>
  <c r="C43" i="13"/>
  <c r="C100" i="13" s="1"/>
  <c r="D54" i="12"/>
  <c r="C13" i="14"/>
  <c r="D67" i="11"/>
  <c r="C12" i="13"/>
  <c r="C69" i="13" s="1"/>
  <c r="E234" i="13" s="1"/>
  <c r="D43" i="11"/>
  <c r="E225" i="17"/>
  <c r="E158" i="17"/>
  <c r="E201" i="17"/>
  <c r="E134" i="17"/>
  <c r="C36" i="18"/>
  <c r="C64" i="18" s="1"/>
  <c r="D97" i="12"/>
  <c r="B50" i="13"/>
  <c r="B107" i="13" s="1"/>
  <c r="C61" i="12"/>
  <c r="C36" i="13"/>
  <c r="C93" i="13" s="1"/>
  <c r="D47" i="12"/>
  <c r="C14" i="13"/>
  <c r="C71" i="13" s="1"/>
  <c r="E236" i="13" s="1"/>
  <c r="D45" i="11"/>
  <c r="D237" i="13"/>
  <c r="K237" i="13" s="1"/>
  <c r="B124" i="13"/>
  <c r="D182" i="13" s="1"/>
  <c r="E239" i="17"/>
  <c r="E175" i="17"/>
  <c r="E16" i="17"/>
  <c r="E69" i="17" s="1"/>
  <c r="E99" i="11"/>
  <c r="C17" i="14"/>
  <c r="C41" i="14" s="1"/>
  <c r="D71" i="11"/>
  <c r="D237" i="17"/>
  <c r="D170" i="17"/>
  <c r="B47" i="13"/>
  <c r="B104" i="13" s="1"/>
  <c r="C58" i="12"/>
  <c r="C15" i="14"/>
  <c r="C39" i="14" s="1"/>
  <c r="D69" i="11"/>
  <c r="E38" i="17"/>
  <c r="E91" i="17" s="1"/>
  <c r="E107" i="12"/>
  <c r="D262" i="13"/>
  <c r="B149" i="13"/>
  <c r="D208" i="13" s="1"/>
  <c r="E14" i="17"/>
  <c r="E67" i="17" s="1"/>
  <c r="E97" i="11"/>
  <c r="D29" i="17"/>
  <c r="D82" i="17" s="1"/>
  <c r="D112" i="11"/>
  <c r="D263" i="13"/>
  <c r="B150" i="13"/>
  <c r="D209" i="13" s="1"/>
  <c r="B51" i="13"/>
  <c r="B108" i="13" s="1"/>
  <c r="C62" i="12"/>
  <c r="E221" i="17"/>
  <c r="E154" i="17"/>
  <c r="C119" i="17"/>
  <c r="K23" i="16"/>
  <c r="J37" i="16"/>
  <c r="J52" i="16"/>
  <c r="J56" i="16" s="1"/>
  <c r="J30" i="16"/>
  <c r="J44" i="16"/>
  <c r="J35" i="16"/>
  <c r="J36" i="16"/>
  <c r="J29" i="16"/>
  <c r="J33" i="16"/>
  <c r="J32" i="16"/>
  <c r="J34" i="16"/>
  <c r="J31" i="16"/>
  <c r="J28" i="16"/>
  <c r="J38" i="16"/>
  <c r="J43" i="16"/>
  <c r="C19" i="18"/>
  <c r="C50" i="18" s="1"/>
  <c r="D80" i="12"/>
  <c r="C30" i="13"/>
  <c r="C87" i="13" s="1"/>
  <c r="D61" i="11"/>
  <c r="C11" i="13"/>
  <c r="D42" i="11"/>
  <c r="D46" i="17"/>
  <c r="D99" i="17" s="1"/>
  <c r="D115" i="12"/>
  <c r="D42" i="17"/>
  <c r="D95" i="17" s="1"/>
  <c r="D111" i="12"/>
  <c r="D265" i="13"/>
  <c r="B152" i="13"/>
  <c r="D211" i="13" s="1"/>
  <c r="B37" i="14"/>
  <c r="D234" i="13"/>
  <c r="K234" i="13" s="1"/>
  <c r="B121" i="13"/>
  <c r="D179" i="13" s="1"/>
  <c r="K179" i="13" s="1"/>
  <c r="L52" i="4"/>
  <c r="L53" i="4" s="1"/>
  <c r="C16" i="18"/>
  <c r="C47" i="18" s="1"/>
  <c r="D77" i="12"/>
  <c r="L58" i="4"/>
  <c r="L59" i="4" s="1"/>
  <c r="D258" i="13"/>
  <c r="B145" i="13"/>
  <c r="D204" i="13" s="1"/>
  <c r="D70" i="12"/>
  <c r="C59" i="13"/>
  <c r="C116" i="13" s="1"/>
  <c r="J149" i="18"/>
  <c r="I180" i="18"/>
  <c r="I181" i="18"/>
  <c r="D236" i="13"/>
  <c r="K236" i="13" s="1"/>
  <c r="B123" i="13"/>
  <c r="D181" i="13" s="1"/>
  <c r="K181" i="13" s="1"/>
  <c r="C39" i="13"/>
  <c r="C96" i="13" s="1"/>
  <c r="D50" i="12"/>
  <c r="E12" i="17"/>
  <c r="E65" i="17" s="1"/>
  <c r="E95" i="11"/>
  <c r="D23" i="17"/>
  <c r="D76" i="17" s="1"/>
  <c r="D106" i="11"/>
  <c r="E204" i="17"/>
  <c r="E137" i="17"/>
  <c r="D28" i="17"/>
  <c r="D81" i="17" s="1"/>
  <c r="D111" i="11"/>
  <c r="C19" i="13"/>
  <c r="C76" i="13" s="1"/>
  <c r="D50" i="11"/>
  <c r="C21" i="18"/>
  <c r="C52" i="18" s="1"/>
  <c r="D82" i="12"/>
  <c r="E226" i="17"/>
  <c r="E159" i="17"/>
  <c r="E39" i="17"/>
  <c r="E92" i="17" s="1"/>
  <c r="E108" i="12"/>
  <c r="B31" i="18"/>
  <c r="C92" i="12"/>
  <c r="H57" i="16"/>
  <c r="H45" i="6"/>
  <c r="E202" i="17"/>
  <c r="E135" i="17"/>
  <c r="D150" i="17"/>
  <c r="D217" i="17"/>
  <c r="D67" i="12"/>
  <c r="C56" i="13"/>
  <c r="C113" i="13" s="1"/>
  <c r="B22" i="13"/>
  <c r="B79" i="13" s="1"/>
  <c r="C53" i="11"/>
  <c r="D50" i="17"/>
  <c r="D103" i="17" s="1"/>
  <c r="D119" i="12"/>
  <c r="E45" i="4"/>
  <c r="C18" i="13"/>
  <c r="C75" i="13" s="1"/>
  <c r="D49" i="11"/>
  <c r="D252" i="13"/>
  <c r="B139" i="13"/>
  <c r="D197" i="13" s="1"/>
  <c r="K197" i="13" s="1"/>
  <c r="E41" i="17"/>
  <c r="E94" i="17" s="1"/>
  <c r="E110" i="12"/>
  <c r="B68" i="13"/>
  <c r="D234" i="17"/>
  <c r="D167" i="17"/>
  <c r="J14" i="4"/>
  <c r="K4" i="4"/>
  <c r="J15" i="4"/>
  <c r="J16" i="4"/>
  <c r="J8" i="4"/>
  <c r="J17" i="4"/>
  <c r="J9" i="4"/>
  <c r="J10" i="4"/>
  <c r="J11" i="4"/>
  <c r="J12" i="4"/>
  <c r="J13" i="4"/>
  <c r="D230" i="17"/>
  <c r="D163" i="17"/>
  <c r="C19" i="14"/>
  <c r="C43" i="14" s="1"/>
  <c r="D73" i="11"/>
  <c r="B26" i="18"/>
  <c r="B57" i="18" s="1"/>
  <c r="C87" i="12"/>
  <c r="D53" i="17"/>
  <c r="D106" i="17" s="1"/>
  <c r="E174" i="17" s="1"/>
  <c r="D122" i="12"/>
  <c r="D24" i="17"/>
  <c r="D77" i="17" s="1"/>
  <c r="D107" i="11"/>
  <c r="E40" i="17"/>
  <c r="E93" i="17" s="1"/>
  <c r="E109" i="12"/>
  <c r="C14" i="14"/>
  <c r="C38" i="14" s="1"/>
  <c r="E153" i="14" s="1"/>
  <c r="D68" i="11"/>
  <c r="D278" i="13"/>
  <c r="B168" i="13"/>
  <c r="D227" i="13" s="1"/>
  <c r="K63" i="4"/>
  <c r="D48" i="17"/>
  <c r="D101" i="17" s="1"/>
  <c r="D117" i="12"/>
  <c r="C14" i="18"/>
  <c r="D75" i="12"/>
  <c r="D261" i="13"/>
  <c r="B148" i="13"/>
  <c r="D207" i="13" s="1"/>
  <c r="E200" i="17"/>
  <c r="E133" i="17"/>
  <c r="D211" i="17"/>
  <c r="D144" i="17"/>
  <c r="E241" i="17"/>
  <c r="E177" i="17"/>
  <c r="J301" i="13"/>
  <c r="H22" i="7" s="1"/>
  <c r="J280" i="13"/>
  <c r="J279" i="13"/>
  <c r="J255" i="13"/>
  <c r="J254" i="13"/>
  <c r="J221" i="13"/>
  <c r="J223" i="13"/>
  <c r="J222" i="13"/>
  <c r="J199" i="13"/>
  <c r="D215" i="17"/>
  <c r="D148" i="17"/>
  <c r="D15" i="18"/>
  <c r="D46" i="18" s="1"/>
  <c r="E76" i="12"/>
  <c r="H59" i="16"/>
  <c r="H33" i="6"/>
  <c r="D275" i="13"/>
  <c r="B165" i="13"/>
  <c r="D224" i="13" s="1"/>
  <c r="B24" i="14"/>
  <c r="B48" i="14" s="1"/>
  <c r="C78" i="11"/>
  <c r="D238" i="17"/>
  <c r="D171" i="17"/>
  <c r="J267" i="17"/>
  <c r="J243" i="17"/>
  <c r="J214" i="17"/>
  <c r="J265" i="17"/>
  <c r="J268" i="17"/>
  <c r="J266" i="17"/>
  <c r="J205" i="17"/>
  <c r="J219" i="17"/>
  <c r="J152" i="17"/>
  <c r="E11" i="17"/>
  <c r="E64" i="17" s="1"/>
  <c r="E94" i="11"/>
  <c r="E10" i="17"/>
  <c r="E63" i="17" s="1"/>
  <c r="E93" i="11"/>
  <c r="D240" i="13"/>
  <c r="K240" i="13" s="1"/>
  <c r="B127" i="13"/>
  <c r="D185" i="13" s="1"/>
  <c r="K185" i="13" s="1"/>
  <c r="E229" i="17"/>
  <c r="E162" i="17"/>
  <c r="C17" i="13"/>
  <c r="C74" i="13" s="1"/>
  <c r="D48" i="11"/>
  <c r="F10" i="7"/>
  <c r="I36" i="6"/>
  <c r="C38" i="13"/>
  <c r="C95" i="13" s="1"/>
  <c r="D49" i="12"/>
  <c r="B48" i="13"/>
  <c r="B105" i="13" s="1"/>
  <c r="C59" i="12"/>
  <c r="C37" i="18"/>
  <c r="C65" i="18" s="1"/>
  <c r="D98" i="12"/>
  <c r="D145" i="17"/>
  <c r="D212" i="17"/>
  <c r="E228" i="17"/>
  <c r="E161" i="17"/>
  <c r="B63" i="14"/>
  <c r="B64" i="14"/>
  <c r="D153" i="14"/>
  <c r="D21" i="17"/>
  <c r="D74" i="17" s="1"/>
  <c r="D104" i="11"/>
  <c r="D236" i="17"/>
  <c r="D169" i="17"/>
  <c r="E15" i="17"/>
  <c r="E68" i="17" s="1"/>
  <c r="E98" i="11"/>
  <c r="C35" i="13"/>
  <c r="D46" i="12"/>
  <c r="F35" i="17"/>
  <c r="F88" i="17" s="1"/>
  <c r="F104" i="12"/>
  <c r="B52" i="13"/>
  <c r="B109" i="13" s="1"/>
  <c r="C63" i="12"/>
  <c r="D241" i="13"/>
  <c r="K241" i="13" s="1"/>
  <c r="B128" i="13"/>
  <c r="D186" i="13" s="1"/>
  <c r="K186" i="13" s="1"/>
  <c r="D43" i="17"/>
  <c r="D96" i="17" s="1"/>
  <c r="D112" i="12"/>
  <c r="E227" i="17"/>
  <c r="E160" i="17"/>
  <c r="B25" i="13"/>
  <c r="B82" i="13" s="1"/>
  <c r="C56" i="11"/>
  <c r="E56" i="17"/>
  <c r="E109" i="17" s="1"/>
  <c r="E125" i="12"/>
  <c r="I57" i="16"/>
  <c r="I45" i="6"/>
  <c r="D231" i="17"/>
  <c r="D164" i="17"/>
  <c r="D49" i="17"/>
  <c r="D102" i="17" s="1"/>
  <c r="D118" i="12"/>
  <c r="L40" i="4"/>
  <c r="L41" i="4" s="1"/>
  <c r="B30" i="18"/>
  <c r="B61" i="18" s="1"/>
  <c r="C91" i="12"/>
  <c r="D27" i="17"/>
  <c r="D80" i="17" s="1"/>
  <c r="D110" i="11"/>
  <c r="C18" i="18"/>
  <c r="C49" i="18" s="1"/>
  <c r="D79" i="12"/>
  <c r="C118" i="17"/>
  <c r="I39" i="16"/>
  <c r="C57" i="10"/>
  <c r="C107" i="10"/>
  <c r="D11" i="10"/>
  <c r="D93" i="10"/>
  <c r="B92" i="4"/>
  <c r="E199" i="17"/>
  <c r="E132" i="17"/>
  <c r="E198" i="17"/>
  <c r="E131" i="17"/>
  <c r="E36" i="17"/>
  <c r="E89" i="17" s="1"/>
  <c r="E105" i="12"/>
  <c r="B21" i="13"/>
  <c r="B78" i="13" s="1"/>
  <c r="C52" i="11"/>
  <c r="D239" i="13"/>
  <c r="K239" i="13" s="1"/>
  <c r="B126" i="13"/>
  <c r="D184" i="13" s="1"/>
  <c r="K184" i="13" s="1"/>
  <c r="H9" i="15"/>
  <c r="H10" i="15" s="1"/>
  <c r="J21" i="15" s="1"/>
  <c r="J23" i="15" s="1"/>
  <c r="G10" i="15"/>
  <c r="I21" i="15" s="1"/>
  <c r="I23" i="15" s="1"/>
  <c r="D260" i="13"/>
  <c r="B147" i="13"/>
  <c r="D206" i="13" s="1"/>
  <c r="J43" i="15"/>
  <c r="H24" i="7" s="1"/>
  <c r="B24" i="13"/>
  <c r="B81" i="13" s="1"/>
  <c r="C55" i="11"/>
  <c r="B22" i="18"/>
  <c r="B53" i="18" s="1"/>
  <c r="C83" i="12"/>
  <c r="D209" i="17"/>
  <c r="D142" i="17"/>
  <c r="D69" i="12"/>
  <c r="C58" i="13"/>
  <c r="C115" i="13" s="1"/>
  <c r="C13" i="13"/>
  <c r="C70" i="13" s="1"/>
  <c r="D44" i="11"/>
  <c r="E203" i="17"/>
  <c r="E136" i="17"/>
  <c r="B92" i="13"/>
  <c r="F223" i="17"/>
  <c r="F156" i="17"/>
  <c r="D19" i="17"/>
  <c r="D72" i="17" s="1"/>
  <c r="D102" i="11"/>
  <c r="B29" i="13"/>
  <c r="B86" i="13" s="1"/>
  <c r="C60" i="11"/>
  <c r="D52" i="17"/>
  <c r="D105" i="17" s="1"/>
  <c r="E173" i="17" s="1"/>
  <c r="D121" i="12"/>
  <c r="E224" i="17"/>
  <c r="E157" i="17"/>
  <c r="E9" i="17"/>
  <c r="E62" i="17" s="1"/>
  <c r="E92" i="11"/>
  <c r="B23" i="14"/>
  <c r="B47" i="14" s="1"/>
  <c r="C77" i="11"/>
  <c r="D22" i="17"/>
  <c r="D75" i="17" s="1"/>
  <c r="D105" i="11"/>
  <c r="C20" i="14"/>
  <c r="C44" i="14" s="1"/>
  <c r="D74" i="11"/>
  <c r="B26" i="14"/>
  <c r="B50" i="14" s="1"/>
  <c r="C80" i="11"/>
  <c r="F34" i="10"/>
  <c r="F136" i="10"/>
  <c r="F160" i="10"/>
  <c r="F124" i="10"/>
  <c r="F148" i="10"/>
  <c r="B44" i="13"/>
  <c r="B101" i="13" s="1"/>
  <c r="C55" i="12"/>
  <c r="B23" i="13"/>
  <c r="B80" i="13" s="1"/>
  <c r="C54" i="11"/>
  <c r="D47" i="17"/>
  <c r="D100" i="17" s="1"/>
  <c r="D116" i="12"/>
  <c r="C18" i="14"/>
  <c r="C42" i="14" s="1"/>
  <c r="E154" i="14" s="1"/>
  <c r="D72" i="11"/>
  <c r="D277" i="13"/>
  <c r="B167" i="13"/>
  <c r="D226" i="13" s="1"/>
  <c r="D235" i="13"/>
  <c r="K235" i="13" s="1"/>
  <c r="B122" i="13"/>
  <c r="D180" i="13" s="1"/>
  <c r="B27" i="13"/>
  <c r="B84" i="13" s="1"/>
  <c r="C58" i="11"/>
  <c r="D37" i="13"/>
  <c r="D94" i="13" s="1"/>
  <c r="E48" i="12"/>
  <c r="B27" i="14"/>
  <c r="B51" i="14" s="1"/>
  <c r="C81" i="11"/>
  <c r="C34" i="18"/>
  <c r="C62" i="18" s="1"/>
  <c r="D95" i="12"/>
  <c r="D68" i="12"/>
  <c r="C57" i="13"/>
  <c r="C114" i="13" s="1"/>
  <c r="C116" i="17"/>
  <c r="B45" i="13"/>
  <c r="B102" i="13" s="1"/>
  <c r="C56" i="12"/>
  <c r="D51" i="17"/>
  <c r="D104" i="17" s="1"/>
  <c r="E172" i="17" s="1"/>
  <c r="D120" i="12"/>
  <c r="D216" i="17"/>
  <c r="D149" i="17"/>
  <c r="D163" i="18"/>
  <c r="D164" i="18"/>
  <c r="B126" i="18"/>
  <c r="B143" i="18" s="1"/>
  <c r="D156" i="18" s="1"/>
  <c r="B125" i="18"/>
  <c r="B142" i="18" s="1"/>
  <c r="D155" i="18" s="1"/>
  <c r="D167" i="18"/>
  <c r="B124" i="18"/>
  <c r="B141" i="18" s="1"/>
  <c r="D20" i="17"/>
  <c r="D73" i="17" s="1"/>
  <c r="D103" i="11"/>
  <c r="E57" i="17"/>
  <c r="E110" i="17" s="1"/>
  <c r="E126" i="12"/>
  <c r="I177" i="14"/>
  <c r="G23" i="7" s="1"/>
  <c r="G54" i="7" s="1"/>
  <c r="D276" i="13"/>
  <c r="B166" i="13"/>
  <c r="D225" i="13" s="1"/>
  <c r="D44" i="17"/>
  <c r="D97" i="17" s="1"/>
  <c r="D113" i="12"/>
  <c r="D18" i="17"/>
  <c r="D71" i="17" s="1"/>
  <c r="D101" i="11"/>
  <c r="D140" i="17"/>
  <c r="D207" i="17"/>
  <c r="B31" i="14"/>
  <c r="B55" i="14" s="1"/>
  <c r="C85" i="11"/>
  <c r="B22" i="14"/>
  <c r="B46" i="14" s="1"/>
  <c r="C76" i="11"/>
  <c r="E197" i="17"/>
  <c r="E130" i="17"/>
  <c r="B28" i="13"/>
  <c r="B85" i="13" s="1"/>
  <c r="C59" i="11"/>
  <c r="B31" i="13"/>
  <c r="B88" i="13" s="1"/>
  <c r="C62" i="11"/>
  <c r="D210" i="17"/>
  <c r="D143" i="17"/>
  <c r="C20" i="18"/>
  <c r="C51" i="18" s="1"/>
  <c r="D81" i="12"/>
  <c r="C16" i="13"/>
  <c r="C73" i="13" s="1"/>
  <c r="E238" i="13" s="1"/>
  <c r="D47" i="11"/>
  <c r="B25" i="14"/>
  <c r="B49" i="14" s="1"/>
  <c r="C79" i="11"/>
  <c r="D25" i="17"/>
  <c r="D78" i="17" s="1"/>
  <c r="D108" i="11"/>
  <c r="D235" i="17"/>
  <c r="D168" i="17"/>
  <c r="B78" i="14"/>
  <c r="D154" i="14"/>
  <c r="B79" i="14"/>
  <c r="B26" i="13"/>
  <c r="B83" i="13" s="1"/>
  <c r="C57" i="11"/>
  <c r="B29" i="14"/>
  <c r="B53" i="14" s="1"/>
  <c r="C83" i="11"/>
  <c r="E259" i="13"/>
  <c r="C146" i="13"/>
  <c r="E205" i="13" s="1"/>
  <c r="B27" i="18"/>
  <c r="B58" i="18" s="1"/>
  <c r="C88" i="12"/>
  <c r="B23" i="18"/>
  <c r="B54" i="18" s="1"/>
  <c r="C84" i="12"/>
  <c r="C17" i="18"/>
  <c r="C48" i="18" s="1"/>
  <c r="D78" i="12"/>
  <c r="C35" i="18"/>
  <c r="C63" i="18" s="1"/>
  <c r="D96" i="12"/>
  <c r="E34" i="17"/>
  <c r="E87" i="17" s="1"/>
  <c r="E103" i="12"/>
  <c r="D141" i="17"/>
  <c r="D208" i="17"/>
  <c r="E242" i="17"/>
  <c r="E178" i="17"/>
  <c r="D45" i="17"/>
  <c r="D98" i="17" s="1"/>
  <c r="D114" i="12"/>
  <c r="D232" i="17"/>
  <c r="D165" i="17"/>
  <c r="D139" i="17"/>
  <c r="D206" i="17"/>
  <c r="C16" i="14"/>
  <c r="C40" i="14" s="1"/>
  <c r="E155" i="14" s="1"/>
  <c r="D70" i="11"/>
  <c r="E55" i="17"/>
  <c r="E108" i="17" s="1"/>
  <c r="E124" i="12"/>
  <c r="B24" i="18"/>
  <c r="B55" i="18" s="1"/>
  <c r="C85" i="12"/>
  <c r="B20" i="13"/>
  <c r="B77" i="13" s="1"/>
  <c r="C51" i="11"/>
  <c r="G30" i="17"/>
  <c r="G83" i="17" s="1"/>
  <c r="G113" i="11"/>
  <c r="B30" i="14"/>
  <c r="B54" i="14" s="1"/>
  <c r="C84" i="11"/>
  <c r="C42" i="13"/>
  <c r="C99" i="13" s="1"/>
  <c r="D53" i="12"/>
  <c r="B32" i="18"/>
  <c r="C93" i="12"/>
  <c r="I19" i="4"/>
  <c r="F25" i="7" s="1"/>
  <c r="F26" i="7" s="1"/>
  <c r="E37" i="17"/>
  <c r="E90" i="17" s="1"/>
  <c r="E106" i="12"/>
  <c r="E13" i="17"/>
  <c r="E66" i="17" s="1"/>
  <c r="E96" i="11"/>
  <c r="D238" i="13"/>
  <c r="K238" i="13" s="1"/>
  <c r="B125" i="13"/>
  <c r="D183" i="13" s="1"/>
  <c r="K183" i="13" s="1"/>
  <c r="B28" i="18"/>
  <c r="B59" i="18" s="1"/>
  <c r="C89" i="12"/>
  <c r="D213" i="17"/>
  <c r="D146" i="17"/>
  <c r="B28" i="14"/>
  <c r="B52" i="14" s="1"/>
  <c r="C82" i="11"/>
  <c r="L46" i="4"/>
  <c r="C15" i="13"/>
  <c r="C72" i="13" s="1"/>
  <c r="D46" i="11"/>
  <c r="E54" i="17"/>
  <c r="E107" i="17" s="1"/>
  <c r="E123" i="12"/>
  <c r="B49" i="13"/>
  <c r="B106" i="13" s="1"/>
  <c r="C60" i="12"/>
  <c r="B33" i="13" l="1"/>
  <c r="M17" i="7"/>
  <c r="G57" i="4"/>
  <c r="G60" i="4" s="1"/>
  <c r="G59" i="4"/>
  <c r="F42" i="4"/>
  <c r="E33" i="4"/>
  <c r="G17" i="7"/>
  <c r="J48" i="6"/>
  <c r="J39" i="16"/>
  <c r="J33" i="6" s="1"/>
  <c r="C15" i="8"/>
  <c r="D64" i="4"/>
  <c r="N61" i="4"/>
  <c r="F61" i="4"/>
  <c r="K64" i="4"/>
  <c r="L36" i="4"/>
  <c r="M33" i="4" s="1"/>
  <c r="L54" i="4"/>
  <c r="M51" i="4" s="1"/>
  <c r="M52" i="4" s="1"/>
  <c r="M53" i="4" s="1"/>
  <c r="L60" i="4"/>
  <c r="M57" i="4" s="1"/>
  <c r="M58" i="4" s="1"/>
  <c r="M59" i="4" s="1"/>
  <c r="L62" i="4"/>
  <c r="C93" i="4" s="1"/>
  <c r="L42" i="4"/>
  <c r="M39" i="4" s="1"/>
  <c r="M40" i="4" s="1"/>
  <c r="J34" i="15"/>
  <c r="J45" i="15" s="1"/>
  <c r="J47" i="15" s="1"/>
  <c r="D114" i="17"/>
  <c r="E182" i="17" s="1"/>
  <c r="D182" i="17"/>
  <c r="G140" i="10"/>
  <c r="G23" i="9"/>
  <c r="G164" i="10"/>
  <c r="G128" i="10"/>
  <c r="G152" i="10"/>
  <c r="D15" i="13"/>
  <c r="D72" i="13" s="1"/>
  <c r="E46" i="11"/>
  <c r="F225" i="17"/>
  <c r="F158" i="17"/>
  <c r="H30" i="17"/>
  <c r="H83" i="17" s="1"/>
  <c r="H113" i="11"/>
  <c r="I30" i="17" s="1"/>
  <c r="I83" i="17" s="1"/>
  <c r="D16" i="14"/>
  <c r="D40" i="14" s="1"/>
  <c r="F155" i="14" s="1"/>
  <c r="E70" i="11"/>
  <c r="E233" i="17"/>
  <c r="E166" i="17"/>
  <c r="C27" i="18"/>
  <c r="C58" i="18" s="1"/>
  <c r="D88" i="12"/>
  <c r="D248" i="13"/>
  <c r="B135" i="13"/>
  <c r="D193" i="13" s="1"/>
  <c r="K193" i="13" s="1"/>
  <c r="C25" i="14"/>
  <c r="C49" i="14" s="1"/>
  <c r="D79" i="11"/>
  <c r="C31" i="13"/>
  <c r="C88" i="13" s="1"/>
  <c r="D62" i="11"/>
  <c r="D118" i="17"/>
  <c r="C45" i="13"/>
  <c r="C102" i="13" s="1"/>
  <c r="D56" i="12"/>
  <c r="C23" i="13"/>
  <c r="C80" i="13" s="1"/>
  <c r="D54" i="11"/>
  <c r="B96" i="14"/>
  <c r="D152" i="14"/>
  <c r="B95" i="14"/>
  <c r="D139" i="14" s="1"/>
  <c r="K139" i="14" s="1"/>
  <c r="D251" i="13"/>
  <c r="B138" i="13"/>
  <c r="D196" i="13" s="1"/>
  <c r="K196" i="13" s="1"/>
  <c r="B61" i="13"/>
  <c r="C30" i="18"/>
  <c r="C61" i="18" s="1"/>
  <c r="D91" i="12"/>
  <c r="E240" i="13"/>
  <c r="C127" i="13"/>
  <c r="E185" i="13" s="1"/>
  <c r="E275" i="13"/>
  <c r="C165" i="13"/>
  <c r="E224" i="13" s="1"/>
  <c r="E46" i="17"/>
  <c r="E99" i="17" s="1"/>
  <c r="E115" i="12"/>
  <c r="J49" i="16"/>
  <c r="F14" i="17"/>
  <c r="F67" i="17" s="1"/>
  <c r="F97" i="11"/>
  <c r="C47" i="13"/>
  <c r="C104" i="13" s="1"/>
  <c r="D58" i="12"/>
  <c r="F204" i="17"/>
  <c r="F137" i="17"/>
  <c r="E258" i="13"/>
  <c r="C145" i="13"/>
  <c r="E204" i="13" s="1"/>
  <c r="C25" i="18"/>
  <c r="C56" i="18" s="1"/>
  <c r="D86" i="12"/>
  <c r="C32" i="18"/>
  <c r="D93" i="12"/>
  <c r="F37" i="17"/>
  <c r="F90" i="17" s="1"/>
  <c r="F106" i="12"/>
  <c r="E237" i="13"/>
  <c r="C124" i="13"/>
  <c r="E182" i="13" s="1"/>
  <c r="C28" i="18"/>
  <c r="C59" i="18" s="1"/>
  <c r="D89" i="12"/>
  <c r="H218" i="17"/>
  <c r="H151" i="17"/>
  <c r="C70" i="14"/>
  <c r="E142" i="14" s="1"/>
  <c r="C71" i="14"/>
  <c r="D17" i="18"/>
  <c r="D48" i="18" s="1"/>
  <c r="E78" i="12"/>
  <c r="D253" i="13"/>
  <c r="B140" i="13"/>
  <c r="D198" i="13" s="1"/>
  <c r="K198" i="13" s="1"/>
  <c r="D115" i="17"/>
  <c r="E18" i="17"/>
  <c r="E71" i="17" s="1"/>
  <c r="E101" i="11"/>
  <c r="D267" i="13"/>
  <c r="B154" i="13"/>
  <c r="D213" i="13" s="1"/>
  <c r="D245" i="13"/>
  <c r="B132" i="13"/>
  <c r="D190" i="13" s="1"/>
  <c r="K190" i="13" s="1"/>
  <c r="C26" i="14"/>
  <c r="C50" i="14" s="1"/>
  <c r="D80" i="11"/>
  <c r="F9" i="17"/>
  <c r="F62" i="17" s="1"/>
  <c r="F92" i="11"/>
  <c r="E19" i="17"/>
  <c r="E72" i="17" s="1"/>
  <c r="E102" i="11"/>
  <c r="D257" i="13"/>
  <c r="B144" i="13"/>
  <c r="D203" i="13" s="1"/>
  <c r="E43" i="17"/>
  <c r="E96" i="17" s="1"/>
  <c r="E112" i="12"/>
  <c r="G35" i="17"/>
  <c r="G88" i="17" s="1"/>
  <c r="G104" i="12"/>
  <c r="E21" i="17"/>
  <c r="E74" i="17" s="1"/>
  <c r="E104" i="11"/>
  <c r="D38" i="13"/>
  <c r="D95" i="13" s="1"/>
  <c r="E49" i="12"/>
  <c r="D14" i="18"/>
  <c r="E75" i="12"/>
  <c r="D14" i="14"/>
  <c r="D38" i="14" s="1"/>
  <c r="F153" i="14" s="1"/>
  <c r="E68" i="11"/>
  <c r="C26" i="18"/>
  <c r="C57" i="18" s="1"/>
  <c r="D87" i="12"/>
  <c r="J19" i="4"/>
  <c r="G25" i="7" s="1"/>
  <c r="D13" i="8"/>
  <c r="E48" i="4"/>
  <c r="F47" i="4" s="1"/>
  <c r="E67" i="12"/>
  <c r="D56" i="13"/>
  <c r="D113" i="13" s="1"/>
  <c r="C31" i="18"/>
  <c r="D92" i="12"/>
  <c r="D19" i="13"/>
  <c r="D76" i="13" s="1"/>
  <c r="E50" i="11"/>
  <c r="E23" i="17"/>
  <c r="E76" i="17" s="1"/>
  <c r="E106" i="11"/>
  <c r="E234" i="17"/>
  <c r="E167" i="17"/>
  <c r="F202" i="17"/>
  <c r="F135" i="17"/>
  <c r="D269" i="13"/>
  <c r="B156" i="13"/>
  <c r="D215" i="13" s="1"/>
  <c r="C50" i="13"/>
  <c r="C107" i="13" s="1"/>
  <c r="D61" i="12"/>
  <c r="D12" i="13"/>
  <c r="D69" i="13" s="1"/>
  <c r="F234" i="13" s="1"/>
  <c r="E43" i="11"/>
  <c r="D246" i="17"/>
  <c r="D183" i="17"/>
  <c r="C28" i="13"/>
  <c r="C85" i="13" s="1"/>
  <c r="D59" i="11"/>
  <c r="D247" i="17"/>
  <c r="D184" i="17"/>
  <c r="F197" i="17"/>
  <c r="F130" i="17"/>
  <c r="E140" i="17"/>
  <c r="E207" i="17"/>
  <c r="C21" i="13"/>
  <c r="C78" i="13" s="1"/>
  <c r="E243" i="13" s="1"/>
  <c r="D52" i="11"/>
  <c r="I59" i="16"/>
  <c r="I33" i="6"/>
  <c r="E231" i="17"/>
  <c r="E164" i="17"/>
  <c r="G223" i="17"/>
  <c r="G156" i="17"/>
  <c r="E209" i="17"/>
  <c r="E142" i="17"/>
  <c r="D37" i="18"/>
  <c r="D65" i="18" s="1"/>
  <c r="E98" i="12"/>
  <c r="E260" i="13"/>
  <c r="C147" i="13"/>
  <c r="E206" i="13" s="1"/>
  <c r="C45" i="18"/>
  <c r="C63" i="14"/>
  <c r="C64" i="14"/>
  <c r="D233" i="13"/>
  <c r="K233" i="13" s="1"/>
  <c r="B120" i="13"/>
  <c r="E241" i="13"/>
  <c r="C128" i="13"/>
  <c r="E186" i="13" s="1"/>
  <c r="E211" i="17"/>
  <c r="E144" i="17"/>
  <c r="D11" i="13"/>
  <c r="E42" i="11"/>
  <c r="C51" i="13"/>
  <c r="C108" i="13" s="1"/>
  <c r="D62" i="12"/>
  <c r="D272" i="13"/>
  <c r="B159" i="13"/>
  <c r="D218" i="13" s="1"/>
  <c r="C121" i="13"/>
  <c r="E179" i="13" s="1"/>
  <c r="C33" i="18"/>
  <c r="D94" i="12"/>
  <c r="C46" i="13"/>
  <c r="C103" i="13" s="1"/>
  <c r="D57" i="12"/>
  <c r="F33" i="17"/>
  <c r="F86" i="17" s="1"/>
  <c r="F102" i="12"/>
  <c r="D21" i="14"/>
  <c r="D45" i="14" s="1"/>
  <c r="E75" i="11"/>
  <c r="D16" i="13"/>
  <c r="D73" i="13" s="1"/>
  <c r="F238" i="13" s="1"/>
  <c r="E47" i="11"/>
  <c r="F57" i="17"/>
  <c r="F110" i="17" s="1"/>
  <c r="F126" i="12"/>
  <c r="C44" i="13"/>
  <c r="C101" i="13" s="1"/>
  <c r="D55" i="12"/>
  <c r="L48" i="4"/>
  <c r="D242" i="13"/>
  <c r="K242" i="13" s="1"/>
  <c r="B129" i="13"/>
  <c r="D187" i="13" s="1"/>
  <c r="K187" i="13" s="1"/>
  <c r="C23" i="18"/>
  <c r="C54" i="18" s="1"/>
  <c r="D84" i="12"/>
  <c r="D141" i="14"/>
  <c r="K141" i="14" s="1"/>
  <c r="C125" i="13"/>
  <c r="E183" i="13" s="1"/>
  <c r="D250" i="13"/>
  <c r="B137" i="13"/>
  <c r="D195" i="13" s="1"/>
  <c r="K195" i="13" s="1"/>
  <c r="C22" i="14"/>
  <c r="C46" i="14" s="1"/>
  <c r="D76" i="11"/>
  <c r="E44" i="17"/>
  <c r="E97" i="17" s="1"/>
  <c r="E113" i="12"/>
  <c r="F242" i="17"/>
  <c r="F178" i="17"/>
  <c r="E276" i="13"/>
  <c r="C166" i="13"/>
  <c r="E225" i="13" s="1"/>
  <c r="D266" i="13"/>
  <c r="B153" i="13"/>
  <c r="D212" i="13" s="1"/>
  <c r="D20" i="14"/>
  <c r="D44" i="14" s="1"/>
  <c r="E74" i="11"/>
  <c r="D243" i="13"/>
  <c r="K243" i="13" s="1"/>
  <c r="B130" i="13"/>
  <c r="D188" i="13" s="1"/>
  <c r="K188" i="13" s="1"/>
  <c r="D250" i="17"/>
  <c r="D187" i="17"/>
  <c r="F56" i="17"/>
  <c r="F109" i="17" s="1"/>
  <c r="F125" i="12"/>
  <c r="D35" i="13"/>
  <c r="E46" i="12"/>
  <c r="E48" i="17"/>
  <c r="E101" i="17" s="1"/>
  <c r="E117" i="12"/>
  <c r="F40" i="17"/>
  <c r="F93" i="17" s="1"/>
  <c r="F109" i="12"/>
  <c r="D19" i="14"/>
  <c r="D43" i="14" s="1"/>
  <c r="E73" i="11"/>
  <c r="F41" i="17"/>
  <c r="F94" i="17" s="1"/>
  <c r="F110" i="12"/>
  <c r="F39" i="17"/>
  <c r="F92" i="17" s="1"/>
  <c r="F108" i="12"/>
  <c r="E28" i="17"/>
  <c r="E81" i="17" s="1"/>
  <c r="E111" i="11"/>
  <c r="F12" i="17"/>
  <c r="F65" i="17" s="1"/>
  <c r="F95" i="11"/>
  <c r="I185" i="18"/>
  <c r="B32" i="14"/>
  <c r="C68" i="13"/>
  <c r="E233" i="13" s="1"/>
  <c r="D273" i="13"/>
  <c r="B160" i="13"/>
  <c r="D219" i="13" s="1"/>
  <c r="D36" i="18"/>
  <c r="D64" i="18" s="1"/>
  <c r="E97" i="12"/>
  <c r="D13" i="14"/>
  <c r="E67" i="11"/>
  <c r="D268" i="13"/>
  <c r="B155" i="13"/>
  <c r="D214" i="13" s="1"/>
  <c r="F221" i="17"/>
  <c r="F154" i="17"/>
  <c r="C20" i="13"/>
  <c r="C77" i="13" s="1"/>
  <c r="E242" i="13" s="1"/>
  <c r="D51" i="11"/>
  <c r="C49" i="13"/>
  <c r="C106" i="13" s="1"/>
  <c r="D60" i="12"/>
  <c r="D42" i="13"/>
  <c r="D99" i="13" s="1"/>
  <c r="E53" i="12"/>
  <c r="C24" i="18"/>
  <c r="C55" i="18" s="1"/>
  <c r="D85" i="12"/>
  <c r="C29" i="14"/>
  <c r="C53" i="14" s="1"/>
  <c r="D83" i="11"/>
  <c r="D20" i="18"/>
  <c r="D51" i="18" s="1"/>
  <c r="E81" i="12"/>
  <c r="D116" i="17"/>
  <c r="E232" i="17"/>
  <c r="E165" i="17"/>
  <c r="E20" i="17"/>
  <c r="E73" i="17" s="1"/>
  <c r="E103" i="11"/>
  <c r="E68" i="12"/>
  <c r="D57" i="13"/>
  <c r="D114" i="13" s="1"/>
  <c r="E37" i="13"/>
  <c r="E94" i="13" s="1"/>
  <c r="F48" i="12"/>
  <c r="D18" i="14"/>
  <c r="D42" i="14" s="1"/>
  <c r="F154" i="14" s="1"/>
  <c r="E72" i="11"/>
  <c r="D13" i="13"/>
  <c r="D70" i="13" s="1"/>
  <c r="E44" i="11"/>
  <c r="C22" i="18"/>
  <c r="C53" i="18" s="1"/>
  <c r="D83" i="12"/>
  <c r="F36" i="17"/>
  <c r="F89" i="17" s="1"/>
  <c r="F105" i="12"/>
  <c r="D18" i="18"/>
  <c r="D49" i="18" s="1"/>
  <c r="E79" i="12"/>
  <c r="E49" i="17"/>
  <c r="E102" i="17" s="1"/>
  <c r="E118" i="12"/>
  <c r="F241" i="17"/>
  <c r="F177" i="17"/>
  <c r="C92" i="13"/>
  <c r="C48" i="13"/>
  <c r="C105" i="13" s="1"/>
  <c r="D59" i="12"/>
  <c r="G136" i="10"/>
  <c r="G160" i="10"/>
  <c r="G124" i="10"/>
  <c r="G148" i="10"/>
  <c r="G34" i="10"/>
  <c r="F10" i="17"/>
  <c r="F63" i="17" s="1"/>
  <c r="F93" i="11"/>
  <c r="E236" i="17"/>
  <c r="E169" i="17"/>
  <c r="F228" i="17"/>
  <c r="F161" i="17"/>
  <c r="K15" i="4"/>
  <c r="K16" i="4"/>
  <c r="K8" i="4"/>
  <c r="K17" i="4"/>
  <c r="K9" i="4"/>
  <c r="K10" i="4"/>
  <c r="K11" i="4"/>
  <c r="K12" i="4"/>
  <c r="K13" i="4"/>
  <c r="K14" i="4"/>
  <c r="F229" i="17"/>
  <c r="F162" i="17"/>
  <c r="E50" i="17"/>
  <c r="E103" i="17" s="1"/>
  <c r="E119" i="12"/>
  <c r="F227" i="17"/>
  <c r="F160" i="17"/>
  <c r="E149" i="17"/>
  <c r="E216" i="17"/>
  <c r="F200" i="17"/>
  <c r="F133" i="17"/>
  <c r="J180" i="18"/>
  <c r="J181" i="18"/>
  <c r="D16" i="18"/>
  <c r="D47" i="18" s="1"/>
  <c r="E77" i="12"/>
  <c r="D30" i="13"/>
  <c r="D87" i="13" s="1"/>
  <c r="E61" i="11"/>
  <c r="F38" i="17"/>
  <c r="F91" i="17" s="1"/>
  <c r="F107" i="12"/>
  <c r="D17" i="14"/>
  <c r="D41" i="14" s="1"/>
  <c r="E71" i="11"/>
  <c r="C37" i="14"/>
  <c r="C29" i="18"/>
  <c r="C60" i="18" s="1"/>
  <c r="D90" i="12"/>
  <c r="D40" i="13"/>
  <c r="D97" i="13" s="1"/>
  <c r="E51" i="12"/>
  <c r="D254" i="17"/>
  <c r="C28" i="14"/>
  <c r="C52" i="14" s="1"/>
  <c r="D82" i="11"/>
  <c r="F13" i="17"/>
  <c r="F66" i="17" s="1"/>
  <c r="F96" i="11"/>
  <c r="E264" i="13"/>
  <c r="C151" i="13"/>
  <c r="E210" i="13" s="1"/>
  <c r="F34" i="17"/>
  <c r="F87" i="17" s="1"/>
  <c r="F103" i="12"/>
  <c r="C31" i="14"/>
  <c r="C55" i="14" s="1"/>
  <c r="D85" i="11"/>
  <c r="E141" i="17"/>
  <c r="E208" i="17"/>
  <c r="D34" i="18"/>
  <c r="D62" i="18" s="1"/>
  <c r="E95" i="12"/>
  <c r="F259" i="13"/>
  <c r="D146" i="13"/>
  <c r="F205" i="13" s="1"/>
  <c r="C78" i="14"/>
  <c r="C79" i="14"/>
  <c r="E22" i="17"/>
  <c r="E75" i="17" s="1"/>
  <c r="E105" i="11"/>
  <c r="E52" i="17"/>
  <c r="E105" i="17" s="1"/>
  <c r="F173" i="17" s="1"/>
  <c r="E121" i="12"/>
  <c r="E235" i="13"/>
  <c r="C122" i="13"/>
  <c r="E180" i="13" s="1"/>
  <c r="F224" i="17"/>
  <c r="F157" i="17"/>
  <c r="E237" i="17"/>
  <c r="E170" i="17"/>
  <c r="C25" i="13"/>
  <c r="C82" i="13" s="1"/>
  <c r="D56" i="11"/>
  <c r="C52" i="13"/>
  <c r="C109" i="13" s="1"/>
  <c r="D63" i="12"/>
  <c r="F15" i="17"/>
  <c r="F68" i="17" s="1"/>
  <c r="F98" i="11"/>
  <c r="D140" i="14"/>
  <c r="K140" i="14" s="1"/>
  <c r="D270" i="13"/>
  <c r="B157" i="13"/>
  <c r="D216" i="13" s="1"/>
  <c r="F198" i="17"/>
  <c r="F131" i="17"/>
  <c r="L47" i="4"/>
  <c r="E24" i="17"/>
  <c r="E77" i="17" s="1"/>
  <c r="E107" i="11"/>
  <c r="E238" i="17"/>
  <c r="E171" i="17"/>
  <c r="D39" i="13"/>
  <c r="D96" i="13" s="1"/>
  <c r="E50" i="12"/>
  <c r="E252" i="13"/>
  <c r="C139" i="13"/>
  <c r="E197" i="13" s="1"/>
  <c r="F226" i="17"/>
  <c r="F159" i="17"/>
  <c r="D14" i="13"/>
  <c r="D71" i="13" s="1"/>
  <c r="F236" i="13" s="1"/>
  <c r="E45" i="11"/>
  <c r="D43" i="13"/>
  <c r="D100" i="13" s="1"/>
  <c r="E54" i="12"/>
  <c r="E262" i="13"/>
  <c r="C149" i="13"/>
  <c r="E208" i="13" s="1"/>
  <c r="B39" i="18"/>
  <c r="E139" i="17"/>
  <c r="E206" i="17"/>
  <c r="D271" i="13"/>
  <c r="B158" i="13"/>
  <c r="D217" i="13" s="1"/>
  <c r="F54" i="17"/>
  <c r="F107" i="17" s="1"/>
  <c r="F123" i="12"/>
  <c r="F201" i="17"/>
  <c r="F134" i="17"/>
  <c r="C30" i="14"/>
  <c r="C54" i="14" s="1"/>
  <c r="D84" i="11"/>
  <c r="F55" i="17"/>
  <c r="F108" i="17" s="1"/>
  <c r="F124" i="12"/>
  <c r="D253" i="17"/>
  <c r="F222" i="17"/>
  <c r="F155" i="17"/>
  <c r="E25" i="17"/>
  <c r="E78" i="17" s="1"/>
  <c r="E108" i="11"/>
  <c r="D168" i="18"/>
  <c r="D169" i="18"/>
  <c r="D154" i="18"/>
  <c r="D159" i="18" s="1"/>
  <c r="E51" i="17"/>
  <c r="E104" i="17" s="1"/>
  <c r="F172" i="17" s="1"/>
  <c r="E120" i="12"/>
  <c r="E164" i="18"/>
  <c r="C124" i="18"/>
  <c r="C141" i="18" s="1"/>
  <c r="E163" i="18"/>
  <c r="C125" i="18"/>
  <c r="C142" i="18" s="1"/>
  <c r="E155" i="18" s="1"/>
  <c r="E167" i="18"/>
  <c r="C126" i="18"/>
  <c r="C143" i="18" s="1"/>
  <c r="E156" i="18" s="1"/>
  <c r="C27" i="13"/>
  <c r="C84" i="13" s="1"/>
  <c r="D58" i="11"/>
  <c r="E47" i="17"/>
  <c r="E100" i="17" s="1"/>
  <c r="E116" i="12"/>
  <c r="E210" i="17"/>
  <c r="E143" i="17"/>
  <c r="E277" i="13"/>
  <c r="C167" i="13"/>
  <c r="E226" i="13" s="1"/>
  <c r="C24" i="13"/>
  <c r="C81" i="13" s="1"/>
  <c r="D55" i="11"/>
  <c r="I47" i="15"/>
  <c r="G10" i="7"/>
  <c r="J36" i="6"/>
  <c r="E27" i="17"/>
  <c r="E80" i="17" s="1"/>
  <c r="E110" i="11"/>
  <c r="D247" i="13"/>
  <c r="B134" i="13"/>
  <c r="D192" i="13" s="1"/>
  <c r="K192" i="13" s="1"/>
  <c r="D274" i="13"/>
  <c r="B161" i="13"/>
  <c r="D220" i="13" s="1"/>
  <c r="F203" i="17"/>
  <c r="F136" i="17"/>
  <c r="D17" i="13"/>
  <c r="D74" i="13" s="1"/>
  <c r="E48" i="11"/>
  <c r="F11" i="17"/>
  <c r="F64" i="17" s="1"/>
  <c r="F94" i="11"/>
  <c r="J273" i="17"/>
  <c r="C24" i="14"/>
  <c r="C48" i="14" s="1"/>
  <c r="D78" i="11"/>
  <c r="E15" i="18"/>
  <c r="E46" i="18" s="1"/>
  <c r="F76" i="12"/>
  <c r="E145" i="17"/>
  <c r="E212" i="17"/>
  <c r="C22" i="13"/>
  <c r="C79" i="13" s="1"/>
  <c r="D53" i="11"/>
  <c r="E261" i="13"/>
  <c r="C148" i="13"/>
  <c r="E207" i="13" s="1"/>
  <c r="E278" i="13"/>
  <c r="C168" i="13"/>
  <c r="E227" i="13" s="1"/>
  <c r="E42" i="17"/>
  <c r="E95" i="17" s="1"/>
  <c r="E111" i="12"/>
  <c r="D19" i="18"/>
  <c r="D50" i="18" s="1"/>
  <c r="E80" i="12"/>
  <c r="K52" i="16"/>
  <c r="K56" i="16" s="1"/>
  <c r="K44" i="16"/>
  <c r="K34" i="16"/>
  <c r="K35" i="16"/>
  <c r="K38" i="16"/>
  <c r="K32" i="16"/>
  <c r="K30" i="16"/>
  <c r="K29" i="16"/>
  <c r="K36" i="16"/>
  <c r="K37" i="16"/>
  <c r="K31" i="16"/>
  <c r="K33" i="16"/>
  <c r="K28" i="16"/>
  <c r="K43" i="16"/>
  <c r="E29" i="17"/>
  <c r="E82" i="17" s="1"/>
  <c r="E112" i="11"/>
  <c r="D15" i="14"/>
  <c r="D39" i="14" s="1"/>
  <c r="E69" i="11"/>
  <c r="C123" i="13"/>
  <c r="E181" i="13" s="1"/>
  <c r="E265" i="13"/>
  <c r="C152" i="13"/>
  <c r="E211" i="13" s="1"/>
  <c r="D41" i="13"/>
  <c r="D98" i="13" s="1"/>
  <c r="E52" i="12"/>
  <c r="F239" i="17"/>
  <c r="F175" i="17"/>
  <c r="F240" i="17"/>
  <c r="F176" i="17"/>
  <c r="E45" i="17"/>
  <c r="E98" i="17" s="1"/>
  <c r="E114" i="12"/>
  <c r="D35" i="18"/>
  <c r="D63" i="18" s="1"/>
  <c r="E96" i="12"/>
  <c r="C26" i="13"/>
  <c r="C83" i="13" s="1"/>
  <c r="D57" i="11"/>
  <c r="E213" i="17"/>
  <c r="E146" i="17"/>
  <c r="D119" i="17"/>
  <c r="J177" i="14"/>
  <c r="H23" i="7" s="1"/>
  <c r="H54" i="7" s="1"/>
  <c r="C27" i="14"/>
  <c r="C51" i="14" s="1"/>
  <c r="D81" i="11"/>
  <c r="D249" i="13"/>
  <c r="B136" i="13"/>
  <c r="D194" i="13" s="1"/>
  <c r="K194" i="13" s="1"/>
  <c r="E235" i="17"/>
  <c r="E168" i="17"/>
  <c r="C23" i="14"/>
  <c r="C47" i="14" s="1"/>
  <c r="E152" i="14" s="1"/>
  <c r="D77" i="11"/>
  <c r="C29" i="13"/>
  <c r="C86" i="13" s="1"/>
  <c r="D60" i="11"/>
  <c r="E69" i="12"/>
  <c r="D58" i="13"/>
  <c r="D115" i="13" s="1"/>
  <c r="D246" i="13"/>
  <c r="B133" i="13"/>
  <c r="D191" i="13" s="1"/>
  <c r="K191" i="13" s="1"/>
  <c r="H10" i="7"/>
  <c r="K36" i="6"/>
  <c r="E215" i="17"/>
  <c r="E148" i="17"/>
  <c r="E239" i="13"/>
  <c r="C126" i="13"/>
  <c r="E184" i="13" s="1"/>
  <c r="F199" i="17"/>
  <c r="F132" i="17"/>
  <c r="E53" i="17"/>
  <c r="E106" i="17" s="1"/>
  <c r="F174" i="17" s="1"/>
  <c r="E122" i="12"/>
  <c r="D18" i="13"/>
  <c r="D75" i="13" s="1"/>
  <c r="E49" i="11"/>
  <c r="D244" i="13"/>
  <c r="B131" i="13"/>
  <c r="D189" i="13" s="1"/>
  <c r="K189" i="13" s="1"/>
  <c r="D21" i="18"/>
  <c r="D52" i="18" s="1"/>
  <c r="E82" i="12"/>
  <c r="E70" i="12"/>
  <c r="D59" i="13"/>
  <c r="D116" i="13" s="1"/>
  <c r="E230" i="17"/>
  <c r="E163" i="17"/>
  <c r="D251" i="17"/>
  <c r="D188" i="17"/>
  <c r="E150" i="17"/>
  <c r="E217" i="17"/>
  <c r="F16" i="17"/>
  <c r="F69" i="17" s="1"/>
  <c r="F99" i="11"/>
  <c r="D36" i="13"/>
  <c r="D93" i="13" s="1"/>
  <c r="E47" i="12"/>
  <c r="E263" i="13"/>
  <c r="C150" i="13"/>
  <c r="E209" i="13" s="1"/>
  <c r="D161" i="14" l="1"/>
  <c r="D178" i="13"/>
  <c r="K178" i="13" s="1"/>
  <c r="D284" i="13"/>
  <c r="K284" i="13" s="1"/>
  <c r="D285" i="13"/>
  <c r="K285" i="13" s="1"/>
  <c r="C33" i="13"/>
  <c r="D160" i="14"/>
  <c r="J185" i="18"/>
  <c r="D144" i="14"/>
  <c r="N17" i="7"/>
  <c r="H57" i="4"/>
  <c r="H59" i="4"/>
  <c r="G39" i="4"/>
  <c r="G41" i="4"/>
  <c r="E36" i="4"/>
  <c r="E62" i="4"/>
  <c r="D32" i="7" s="1"/>
  <c r="E42" i="10" s="1"/>
  <c r="E35" i="4"/>
  <c r="E63" i="4" s="1"/>
  <c r="D14" i="8" s="1"/>
  <c r="D15" i="8" s="1"/>
  <c r="O61" i="4"/>
  <c r="G61" i="4"/>
  <c r="M34" i="4"/>
  <c r="M35" i="4" s="1"/>
  <c r="M41" i="4"/>
  <c r="M42" i="4"/>
  <c r="N39" i="4" s="1"/>
  <c r="N40" i="4" s="1"/>
  <c r="G26" i="7"/>
  <c r="K48" i="6"/>
  <c r="H17" i="7"/>
  <c r="O17" i="7" s="1"/>
  <c r="E245" i="17"/>
  <c r="E253" i="17"/>
  <c r="D191" i="17"/>
  <c r="E14" i="6"/>
  <c r="F6" i="6" s="1"/>
  <c r="E114" i="17"/>
  <c r="F245" i="17" s="1"/>
  <c r="E254" i="17"/>
  <c r="G204" i="17"/>
  <c r="G137" i="17"/>
  <c r="M54" i="4"/>
  <c r="N51" i="4" s="1"/>
  <c r="F240" i="13"/>
  <c r="D127" i="13"/>
  <c r="F185" i="13" s="1"/>
  <c r="F69" i="12"/>
  <c r="E58" i="13"/>
  <c r="E115" i="13" s="1"/>
  <c r="D26" i="13"/>
  <c r="D83" i="13" s="1"/>
  <c r="E57" i="11"/>
  <c r="K39" i="16"/>
  <c r="F230" i="17"/>
  <c r="F163" i="17"/>
  <c r="G199" i="17"/>
  <c r="G132" i="17"/>
  <c r="E246" i="13"/>
  <c r="C133" i="13"/>
  <c r="E191" i="13" s="1"/>
  <c r="E249" i="13"/>
  <c r="C136" i="13"/>
  <c r="E194" i="13" s="1"/>
  <c r="G54" i="17"/>
  <c r="G107" i="17" s="1"/>
  <c r="G123" i="12"/>
  <c r="F210" i="17"/>
  <c r="F143" i="17"/>
  <c r="D29" i="18"/>
  <c r="D60" i="18" s="1"/>
  <c r="E90" i="12"/>
  <c r="E30" i="13"/>
  <c r="E87" i="13" s="1"/>
  <c r="F61" i="11"/>
  <c r="G224" i="17"/>
  <c r="G157" i="17"/>
  <c r="G259" i="13"/>
  <c r="E146" i="13"/>
  <c r="G205" i="13" s="1"/>
  <c r="E20" i="18"/>
  <c r="E51" i="18" s="1"/>
  <c r="F81" i="12"/>
  <c r="D49" i="13"/>
  <c r="D106" i="13" s="1"/>
  <c r="E60" i="12"/>
  <c r="C120" i="13"/>
  <c r="G227" i="17"/>
  <c r="G160" i="17"/>
  <c r="F236" i="17"/>
  <c r="F169" i="17"/>
  <c r="G56" i="17"/>
  <c r="G109" i="17" s="1"/>
  <c r="G125" i="12"/>
  <c r="E20" i="14"/>
  <c r="E44" i="14" s="1"/>
  <c r="F74" i="11"/>
  <c r="M45" i="4"/>
  <c r="E268" i="13"/>
  <c r="C155" i="13"/>
  <c r="E214" i="13" s="1"/>
  <c r="E273" i="13"/>
  <c r="C160" i="13"/>
  <c r="E219" i="13" s="1"/>
  <c r="E140" i="14"/>
  <c r="E116" i="17"/>
  <c r="F142" i="17"/>
  <c r="F209" i="17"/>
  <c r="F140" i="17"/>
  <c r="F207" i="17"/>
  <c r="F46" i="17"/>
  <c r="F99" i="17" s="1"/>
  <c r="F115" i="12"/>
  <c r="D45" i="13"/>
  <c r="D102" i="13" s="1"/>
  <c r="E56" i="12"/>
  <c r="I218" i="17"/>
  <c r="I151" i="17"/>
  <c r="F278" i="13"/>
  <c r="D168" i="13"/>
  <c r="F227" i="13" s="1"/>
  <c r="F53" i="17"/>
  <c r="F106" i="17" s="1"/>
  <c r="G174" i="17" s="1"/>
  <c r="F122" i="12"/>
  <c r="D29" i="13"/>
  <c r="D86" i="13" s="1"/>
  <c r="E60" i="11"/>
  <c r="D27" i="14"/>
  <c r="D51" i="14" s="1"/>
  <c r="E81" i="11"/>
  <c r="E248" i="13"/>
  <c r="C135" i="13"/>
  <c r="E193" i="13" s="1"/>
  <c r="E17" i="13"/>
  <c r="E74" i="13" s="1"/>
  <c r="F48" i="11"/>
  <c r="F27" i="17"/>
  <c r="F80" i="17" s="1"/>
  <c r="F110" i="11"/>
  <c r="G239" i="17"/>
  <c r="G175" i="17"/>
  <c r="E43" i="13"/>
  <c r="E100" i="13" s="1"/>
  <c r="F54" i="12"/>
  <c r="E39" i="13"/>
  <c r="E96" i="13" s="1"/>
  <c r="F50" i="12"/>
  <c r="G15" i="17"/>
  <c r="G68" i="17" s="1"/>
  <c r="G98" i="11"/>
  <c r="G13" i="17"/>
  <c r="G66" i="17" s="1"/>
  <c r="G96" i="11"/>
  <c r="F252" i="13"/>
  <c r="D139" i="13"/>
  <c r="F197" i="13" s="1"/>
  <c r="D22" i="18"/>
  <c r="D53" i="18" s="1"/>
  <c r="E83" i="12"/>
  <c r="F276" i="13"/>
  <c r="D166" i="13"/>
  <c r="F225" i="13" s="1"/>
  <c r="E271" i="13"/>
  <c r="C158" i="13"/>
  <c r="E217" i="13" s="1"/>
  <c r="E13" i="14"/>
  <c r="F67" i="11"/>
  <c r="D156" i="14"/>
  <c r="B12" i="14"/>
  <c r="B35" i="14"/>
  <c r="G41" i="17"/>
  <c r="G94" i="17" s="1"/>
  <c r="G110" i="12"/>
  <c r="G241" i="17"/>
  <c r="G177" i="17"/>
  <c r="F44" i="17"/>
  <c r="F97" i="17" s="1"/>
  <c r="F113" i="12"/>
  <c r="D44" i="13"/>
  <c r="D101" i="13" s="1"/>
  <c r="E55" i="12"/>
  <c r="D33" i="18"/>
  <c r="E94" i="12"/>
  <c r="C39" i="18"/>
  <c r="E115" i="17"/>
  <c r="E12" i="13"/>
  <c r="E69" i="13" s="1"/>
  <c r="G234" i="13" s="1"/>
  <c r="F43" i="11"/>
  <c r="F275" i="13"/>
  <c r="D165" i="13"/>
  <c r="F224" i="13" s="1"/>
  <c r="E14" i="14"/>
  <c r="E38" i="14" s="1"/>
  <c r="G153" i="14" s="1"/>
  <c r="F68" i="11"/>
  <c r="H35" i="17"/>
  <c r="H88" i="17" s="1"/>
  <c r="H104" i="12"/>
  <c r="I35" i="17" s="1"/>
  <c r="I88" i="17" s="1"/>
  <c r="G9" i="17"/>
  <c r="G62" i="17" s="1"/>
  <c r="G92" i="11"/>
  <c r="F18" i="17"/>
  <c r="F71" i="17" s="1"/>
  <c r="F101" i="11"/>
  <c r="G37" i="17"/>
  <c r="G90" i="17" s="1"/>
  <c r="G106" i="12"/>
  <c r="F234" i="17"/>
  <c r="F167" i="17"/>
  <c r="E267" i="13"/>
  <c r="C154" i="13"/>
  <c r="E213" i="13" s="1"/>
  <c r="D27" i="18"/>
  <c r="D58" i="18" s="1"/>
  <c r="E88" i="12"/>
  <c r="F70" i="12"/>
  <c r="E59" i="13"/>
  <c r="E116" i="13" s="1"/>
  <c r="E251" i="13"/>
  <c r="C138" i="13"/>
  <c r="E196" i="13" s="1"/>
  <c r="E35" i="18"/>
  <c r="E63" i="18" s="1"/>
  <c r="F96" i="12"/>
  <c r="F15" i="18"/>
  <c r="F46" i="18" s="1"/>
  <c r="G76" i="12"/>
  <c r="F239" i="13"/>
  <c r="D126" i="13"/>
  <c r="F184" i="13" s="1"/>
  <c r="F215" i="17"/>
  <c r="F148" i="17"/>
  <c r="G55" i="17"/>
  <c r="G108" i="17" s="1"/>
  <c r="G124" i="12"/>
  <c r="F265" i="13"/>
  <c r="D152" i="13"/>
  <c r="F211" i="13" s="1"/>
  <c r="F261" i="13"/>
  <c r="D148" i="13"/>
  <c r="F207" i="13" s="1"/>
  <c r="G203" i="17"/>
  <c r="G136" i="17"/>
  <c r="D31" i="14"/>
  <c r="D55" i="14" s="1"/>
  <c r="E85" i="11"/>
  <c r="G201" i="17"/>
  <c r="G134" i="17"/>
  <c r="E16" i="18"/>
  <c r="E47" i="18" s="1"/>
  <c r="F77" i="12"/>
  <c r="F49" i="17"/>
  <c r="F102" i="17" s="1"/>
  <c r="F118" i="12"/>
  <c r="F68" i="12"/>
  <c r="E57" i="13"/>
  <c r="E114" i="13" s="1"/>
  <c r="D29" i="14"/>
  <c r="D53" i="14" s="1"/>
  <c r="E83" i="11"/>
  <c r="D20" i="13"/>
  <c r="D77" i="13" s="1"/>
  <c r="F242" i="13" s="1"/>
  <c r="E51" i="11"/>
  <c r="D37" i="14"/>
  <c r="G229" i="17"/>
  <c r="G162" i="17"/>
  <c r="F232" i="17"/>
  <c r="F165" i="17"/>
  <c r="E266" i="13"/>
  <c r="C153" i="13"/>
  <c r="E212" i="13" s="1"/>
  <c r="D21" i="13"/>
  <c r="D78" i="13" s="1"/>
  <c r="F243" i="13" s="1"/>
  <c r="E52" i="11"/>
  <c r="D121" i="13"/>
  <c r="F179" i="13" s="1"/>
  <c r="F67" i="12"/>
  <c r="E56" i="13"/>
  <c r="E113" i="13" s="1"/>
  <c r="D63" i="14"/>
  <c r="D64" i="14"/>
  <c r="H223" i="17"/>
  <c r="H156" i="17"/>
  <c r="G197" i="17"/>
  <c r="G130" i="17"/>
  <c r="F139" i="17"/>
  <c r="F206" i="17"/>
  <c r="G225" i="17"/>
  <c r="G158" i="17"/>
  <c r="E250" i="17"/>
  <c r="E187" i="17"/>
  <c r="E21" i="18"/>
  <c r="E52" i="18" s="1"/>
  <c r="F82" i="12"/>
  <c r="I160" i="10"/>
  <c r="I124" i="10"/>
  <c r="I148" i="10"/>
  <c r="I34" i="10"/>
  <c r="I136" i="10"/>
  <c r="D23" i="14"/>
  <c r="D47" i="14" s="1"/>
  <c r="F152" i="14" s="1"/>
  <c r="E77" i="11"/>
  <c r="E41" i="13"/>
  <c r="E98" i="13" s="1"/>
  <c r="F52" i="12"/>
  <c r="E15" i="14"/>
  <c r="E39" i="14" s="1"/>
  <c r="F69" i="11"/>
  <c r="G240" i="17"/>
  <c r="G176" i="17"/>
  <c r="E14" i="13"/>
  <c r="E71" i="13" s="1"/>
  <c r="G236" i="13" s="1"/>
  <c r="F45" i="11"/>
  <c r="D52" i="13"/>
  <c r="D109" i="13" s="1"/>
  <c r="E63" i="12"/>
  <c r="E141" i="14"/>
  <c r="D28" i="14"/>
  <c r="D52" i="14" s="1"/>
  <c r="E82" i="11"/>
  <c r="C32" i="14"/>
  <c r="E156" i="14" s="1"/>
  <c r="F237" i="17"/>
  <c r="F170" i="17"/>
  <c r="E13" i="13"/>
  <c r="E70" i="13" s="1"/>
  <c r="F44" i="11"/>
  <c r="F20" i="17"/>
  <c r="F73" i="17" s="1"/>
  <c r="F103" i="11"/>
  <c r="C129" i="13"/>
  <c r="E187" i="13" s="1"/>
  <c r="E36" i="18"/>
  <c r="E64" i="18" s="1"/>
  <c r="F97" i="12"/>
  <c r="G12" i="17"/>
  <c r="G65" i="17" s="1"/>
  <c r="G95" i="11"/>
  <c r="E19" i="14"/>
  <c r="E43" i="14" s="1"/>
  <c r="F73" i="11"/>
  <c r="D22" i="14"/>
  <c r="D46" i="14" s="1"/>
  <c r="E76" i="11"/>
  <c r="G57" i="17"/>
  <c r="G110" i="17" s="1"/>
  <c r="G126" i="12"/>
  <c r="E21" i="14"/>
  <c r="E45" i="14" s="1"/>
  <c r="F75" i="11"/>
  <c r="C130" i="13"/>
  <c r="E188" i="13" s="1"/>
  <c r="D50" i="13"/>
  <c r="D107" i="13" s="1"/>
  <c r="E61" i="12"/>
  <c r="F23" i="17"/>
  <c r="F76" i="17" s="1"/>
  <c r="F106" i="11"/>
  <c r="F45" i="4"/>
  <c r="E14" i="18"/>
  <c r="F75" i="12"/>
  <c r="F43" i="17"/>
  <c r="F96" i="17" s="1"/>
  <c r="F112" i="12"/>
  <c r="D26" i="14"/>
  <c r="D50" i="14" s="1"/>
  <c r="E80" i="11"/>
  <c r="E246" i="17"/>
  <c r="E183" i="17"/>
  <c r="D32" i="18"/>
  <c r="E93" i="12"/>
  <c r="D47" i="13"/>
  <c r="D104" i="13" s="1"/>
  <c r="E58" i="12"/>
  <c r="D31" i="13"/>
  <c r="D88" i="13" s="1"/>
  <c r="E62" i="11"/>
  <c r="E15" i="13"/>
  <c r="E72" i="13" s="1"/>
  <c r="F46" i="11"/>
  <c r="C95" i="14"/>
  <c r="E139" i="14" s="1"/>
  <c r="C96" i="14"/>
  <c r="F45" i="17"/>
  <c r="F98" i="17" s="1"/>
  <c r="F114" i="12"/>
  <c r="F263" i="13"/>
  <c r="D150" i="13"/>
  <c r="F209" i="13" s="1"/>
  <c r="D24" i="14"/>
  <c r="D48" i="14" s="1"/>
  <c r="E78" i="11"/>
  <c r="D30" i="14"/>
  <c r="D54" i="14" s="1"/>
  <c r="E84" i="11"/>
  <c r="D123" i="13"/>
  <c r="F181" i="13" s="1"/>
  <c r="E274" i="13"/>
  <c r="C161" i="13"/>
  <c r="E220" i="13" s="1"/>
  <c r="E17" i="14"/>
  <c r="E41" i="14" s="1"/>
  <c r="F71" i="11"/>
  <c r="D48" i="13"/>
  <c r="D105" i="13" s="1"/>
  <c r="E59" i="12"/>
  <c r="E18" i="18"/>
  <c r="E49" i="18" s="1"/>
  <c r="F79" i="12"/>
  <c r="F235" i="13"/>
  <c r="D122" i="13"/>
  <c r="F180" i="13" s="1"/>
  <c r="F141" i="17"/>
  <c r="F208" i="17"/>
  <c r="D24" i="18"/>
  <c r="D55" i="18" s="1"/>
  <c r="E85" i="12"/>
  <c r="G200" i="17"/>
  <c r="G133" i="17"/>
  <c r="D23" i="18"/>
  <c r="D54" i="18" s="1"/>
  <c r="E84" i="12"/>
  <c r="G242" i="17"/>
  <c r="G178" i="17"/>
  <c r="E11" i="13"/>
  <c r="F42" i="11"/>
  <c r="D28" i="13"/>
  <c r="D85" i="13" s="1"/>
  <c r="E59" i="11"/>
  <c r="E272" i="13"/>
  <c r="C159" i="13"/>
  <c r="E218" i="13" s="1"/>
  <c r="F211" i="17"/>
  <c r="F144" i="17"/>
  <c r="D45" i="18"/>
  <c r="F231" i="17"/>
  <c r="F164" i="17"/>
  <c r="E269" i="13"/>
  <c r="C156" i="13"/>
  <c r="E215" i="13" s="1"/>
  <c r="E253" i="13"/>
  <c r="C140" i="13"/>
  <c r="E198" i="13" s="1"/>
  <c r="F237" i="13"/>
  <c r="D124" i="13"/>
  <c r="F182" i="13" s="1"/>
  <c r="E36" i="13"/>
  <c r="E93" i="13" s="1"/>
  <c r="F47" i="12"/>
  <c r="E251" i="17"/>
  <c r="E188" i="17"/>
  <c r="F233" i="17"/>
  <c r="F166" i="17"/>
  <c r="F29" i="17"/>
  <c r="F82" i="17" s="1"/>
  <c r="F112" i="11"/>
  <c r="E19" i="18"/>
  <c r="E50" i="18" s="1"/>
  <c r="F80" i="12"/>
  <c r="H160" i="10"/>
  <c r="H148" i="10"/>
  <c r="H34" i="10"/>
  <c r="H136" i="10"/>
  <c r="H124" i="10"/>
  <c r="F47" i="17"/>
  <c r="F100" i="17" s="1"/>
  <c r="F116" i="12"/>
  <c r="E154" i="18"/>
  <c r="E159" i="18" s="1"/>
  <c r="E168" i="18"/>
  <c r="E169" i="18"/>
  <c r="F25" i="17"/>
  <c r="F78" i="17" s="1"/>
  <c r="F108" i="11"/>
  <c r="F24" i="17"/>
  <c r="F77" i="17" s="1"/>
  <c r="F107" i="11"/>
  <c r="D25" i="13"/>
  <c r="D82" i="13" s="1"/>
  <c r="E56" i="11"/>
  <c r="F52" i="17"/>
  <c r="F105" i="17" s="1"/>
  <c r="G173" i="17" s="1"/>
  <c r="F121" i="12"/>
  <c r="G34" i="17"/>
  <c r="G87" i="17" s="1"/>
  <c r="G103" i="12"/>
  <c r="G10" i="17"/>
  <c r="G63" i="17" s="1"/>
  <c r="G93" i="11"/>
  <c r="E270" i="13"/>
  <c r="C157" i="13"/>
  <c r="E216" i="13" s="1"/>
  <c r="E18" i="14"/>
  <c r="E42" i="14" s="1"/>
  <c r="G154" i="14" s="1"/>
  <c r="F72" i="11"/>
  <c r="F28" i="17"/>
  <c r="F81" i="17" s="1"/>
  <c r="F111" i="11"/>
  <c r="G40" i="17"/>
  <c r="G93" i="17" s="1"/>
  <c r="G109" i="12"/>
  <c r="E16" i="13"/>
  <c r="E73" i="13" s="1"/>
  <c r="G238" i="13" s="1"/>
  <c r="F47" i="11"/>
  <c r="G33" i="17"/>
  <c r="G86" i="17" s="1"/>
  <c r="G102" i="12"/>
  <c r="D68" i="13"/>
  <c r="F233" i="13" s="1"/>
  <c r="E37" i="18"/>
  <c r="E65" i="18" s="1"/>
  <c r="F98" i="12"/>
  <c r="E250" i="13"/>
  <c r="C137" i="13"/>
  <c r="E195" i="13" s="1"/>
  <c r="E19" i="13"/>
  <c r="E76" i="13" s="1"/>
  <c r="F50" i="11"/>
  <c r="B65" i="13"/>
  <c r="D200" i="13" s="1"/>
  <c r="K200" i="13" s="1"/>
  <c r="B10" i="13"/>
  <c r="E38" i="13"/>
  <c r="E95" i="13" s="1"/>
  <c r="F49" i="12"/>
  <c r="D28" i="18"/>
  <c r="D59" i="18" s="1"/>
  <c r="E89" i="12"/>
  <c r="D25" i="18"/>
  <c r="D56" i="18" s="1"/>
  <c r="E86" i="12"/>
  <c r="G14" i="17"/>
  <c r="G67" i="17" s="1"/>
  <c r="G97" i="11"/>
  <c r="D25" i="14"/>
  <c r="D49" i="14" s="1"/>
  <c r="E79" i="11"/>
  <c r="E16" i="14"/>
  <c r="E40" i="14" s="1"/>
  <c r="G155" i="14" s="1"/>
  <c r="F70" i="11"/>
  <c r="F258" i="13"/>
  <c r="D145" i="13"/>
  <c r="F204" i="13" s="1"/>
  <c r="F217" i="17"/>
  <c r="F150" i="17"/>
  <c r="D22" i="13"/>
  <c r="D79" i="13" s="1"/>
  <c r="E53" i="11"/>
  <c r="F235" i="17"/>
  <c r="F168" i="17"/>
  <c r="F146" i="17"/>
  <c r="F213" i="17"/>
  <c r="B42" i="18"/>
  <c r="B12" i="18"/>
  <c r="F145" i="17"/>
  <c r="F212" i="17"/>
  <c r="E247" i="13"/>
  <c r="C134" i="13"/>
  <c r="E192" i="13" s="1"/>
  <c r="E34" i="18"/>
  <c r="E62" i="18" s="1"/>
  <c r="F95" i="12"/>
  <c r="G222" i="17"/>
  <c r="G155" i="17"/>
  <c r="E40" i="13"/>
  <c r="E97" i="13" s="1"/>
  <c r="F51" i="12"/>
  <c r="G38" i="17"/>
  <c r="G91" i="17" s="1"/>
  <c r="G107" i="12"/>
  <c r="F50" i="17"/>
  <c r="F103" i="17" s="1"/>
  <c r="F119" i="12"/>
  <c r="K19" i="4"/>
  <c r="H25" i="7" s="1"/>
  <c r="H26" i="7" s="1"/>
  <c r="G198" i="17"/>
  <c r="G131" i="17"/>
  <c r="C61" i="13"/>
  <c r="D78" i="14"/>
  <c r="D79" i="14"/>
  <c r="E42" i="13"/>
  <c r="E99" i="13" s="1"/>
  <c r="F53" i="12"/>
  <c r="F216" i="17"/>
  <c r="F149" i="17"/>
  <c r="G228" i="17"/>
  <c r="G161" i="17"/>
  <c r="E35" i="13"/>
  <c r="F46" i="12"/>
  <c r="D125" i="13"/>
  <c r="F183" i="13" s="1"/>
  <c r="G221" i="17"/>
  <c r="G154" i="17"/>
  <c r="M60" i="4"/>
  <c r="N57" i="4" s="1"/>
  <c r="E119" i="17"/>
  <c r="F241" i="13"/>
  <c r="D128" i="13"/>
  <c r="F186" i="13" s="1"/>
  <c r="F260" i="13"/>
  <c r="D147" i="13"/>
  <c r="F206" i="13" s="1"/>
  <c r="E17" i="18"/>
  <c r="E48" i="18" s="1"/>
  <c r="F78" i="12"/>
  <c r="G202" i="17"/>
  <c r="G135" i="17"/>
  <c r="D30" i="18"/>
  <c r="D61" i="18" s="1"/>
  <c r="E91" i="12"/>
  <c r="D23" i="13"/>
  <c r="D80" i="13" s="1"/>
  <c r="E54" i="11"/>
  <c r="D70" i="14"/>
  <c r="F142" i="14" s="1"/>
  <c r="D71" i="14"/>
  <c r="G16" i="17"/>
  <c r="G69" i="17" s="1"/>
  <c r="G99" i="11"/>
  <c r="E18" i="13"/>
  <c r="E75" i="13" s="1"/>
  <c r="F49" i="11"/>
  <c r="F277" i="13"/>
  <c r="D167" i="13"/>
  <c r="F226" i="13" s="1"/>
  <c r="K49" i="16"/>
  <c r="F42" i="17"/>
  <c r="F95" i="17" s="1"/>
  <c r="F111" i="12"/>
  <c r="E244" i="13"/>
  <c r="C131" i="13"/>
  <c r="E189" i="13" s="1"/>
  <c r="G11" i="17"/>
  <c r="G64" i="17" s="1"/>
  <c r="G94" i="11"/>
  <c r="D24" i="13"/>
  <c r="D81" i="13" s="1"/>
  <c r="E55" i="11"/>
  <c r="D27" i="13"/>
  <c r="D84" i="13" s="1"/>
  <c r="E58" i="11"/>
  <c r="F51" i="17"/>
  <c r="F104" i="17" s="1"/>
  <c r="G172" i="17" s="1"/>
  <c r="F120" i="12"/>
  <c r="L63" i="4"/>
  <c r="L64" i="4" s="1"/>
  <c r="F22" i="17"/>
  <c r="F75" i="17" s="1"/>
  <c r="F105" i="11"/>
  <c r="D124" i="18"/>
  <c r="D141" i="18" s="1"/>
  <c r="F167" i="18"/>
  <c r="D125" i="18"/>
  <c r="D142" i="18" s="1"/>
  <c r="F155" i="18" s="1"/>
  <c r="F163" i="18"/>
  <c r="F164" i="18"/>
  <c r="D126" i="18"/>
  <c r="D143" i="18" s="1"/>
  <c r="F156" i="18" s="1"/>
  <c r="F262" i="13"/>
  <c r="D149" i="13"/>
  <c r="F208" i="13" s="1"/>
  <c r="G226" i="17"/>
  <c r="G159" i="17"/>
  <c r="F238" i="17"/>
  <c r="F171" i="17"/>
  <c r="E257" i="13"/>
  <c r="C144" i="13"/>
  <c r="E203" i="13" s="1"/>
  <c r="G36" i="17"/>
  <c r="G89" i="17" s="1"/>
  <c r="G105" i="12"/>
  <c r="F37" i="13"/>
  <c r="F94" i="13" s="1"/>
  <c r="G48" i="12"/>
  <c r="E247" i="17"/>
  <c r="E184" i="17"/>
  <c r="F264" i="13"/>
  <c r="D151" i="13"/>
  <c r="F210" i="13" s="1"/>
  <c r="G39" i="17"/>
  <c r="G92" i="17" s="1"/>
  <c r="G108" i="12"/>
  <c r="F48" i="17"/>
  <c r="F101" i="17" s="1"/>
  <c r="F117" i="12"/>
  <c r="D92" i="13"/>
  <c r="D46" i="13"/>
  <c r="D103" i="13" s="1"/>
  <c r="E57" i="12"/>
  <c r="D51" i="13"/>
  <c r="D108" i="13" s="1"/>
  <c r="E62" i="12"/>
  <c r="E118" i="17"/>
  <c r="D31" i="18"/>
  <c r="E92" i="12"/>
  <c r="D26" i="18"/>
  <c r="D57" i="18" s="1"/>
  <c r="E87" i="12"/>
  <c r="F21" i="17"/>
  <c r="F74" i="17" s="1"/>
  <c r="F104" i="11"/>
  <c r="F19" i="17"/>
  <c r="F72" i="17" s="1"/>
  <c r="F102" i="11"/>
  <c r="J57" i="16"/>
  <c r="J59" i="16" s="1"/>
  <c r="J45" i="6"/>
  <c r="E245" i="13"/>
  <c r="C132" i="13"/>
  <c r="E190" i="13" s="1"/>
  <c r="J218" i="17"/>
  <c r="J151" i="17"/>
  <c r="D229" i="13" l="1"/>
  <c r="E284" i="13"/>
  <c r="E285" i="13"/>
  <c r="D33" i="13"/>
  <c r="E161" i="14"/>
  <c r="E160" i="14"/>
  <c r="H140" i="10"/>
  <c r="H60" i="4"/>
  <c r="G42" i="4"/>
  <c r="F11" i="10"/>
  <c r="E107" i="10"/>
  <c r="D92" i="4"/>
  <c r="E57" i="10"/>
  <c r="F93" i="10"/>
  <c r="F33" i="4"/>
  <c r="E64" i="4"/>
  <c r="P61" i="4"/>
  <c r="H61" i="4"/>
  <c r="M36" i="4"/>
  <c r="N33" i="4" s="1"/>
  <c r="N41" i="4"/>
  <c r="N42" i="4"/>
  <c r="O39" i="4" s="1"/>
  <c r="O40" i="4" s="1"/>
  <c r="H152" i="10"/>
  <c r="H23" i="9"/>
  <c r="H128" i="10"/>
  <c r="H164" i="10"/>
  <c r="D260" i="17"/>
  <c r="D262" i="17" s="1"/>
  <c r="F182" i="17"/>
  <c r="E191" i="17"/>
  <c r="F32" i="6" s="1"/>
  <c r="F14" i="6"/>
  <c r="E260" i="17" s="1"/>
  <c r="F254" i="17"/>
  <c r="E32" i="6"/>
  <c r="I140" i="10"/>
  <c r="I164" i="10"/>
  <c r="I128" i="10"/>
  <c r="I152" i="10"/>
  <c r="I23" i="9"/>
  <c r="E29" i="14"/>
  <c r="E53" i="14" s="1"/>
  <c r="F83" i="11"/>
  <c r="G15" i="18"/>
  <c r="G46" i="18" s="1"/>
  <c r="H76" i="12"/>
  <c r="H15" i="18" s="1"/>
  <c r="H46" i="18" s="1"/>
  <c r="H225" i="17"/>
  <c r="H158" i="17"/>
  <c r="E64" i="14"/>
  <c r="E63" i="14"/>
  <c r="G44" i="17"/>
  <c r="G97" i="17" s="1"/>
  <c r="G113" i="12"/>
  <c r="F39" i="13"/>
  <c r="F96" i="13" s="1"/>
  <c r="G50" i="12"/>
  <c r="G48" i="17"/>
  <c r="G101" i="17" s="1"/>
  <c r="G117" i="12"/>
  <c r="G209" i="17"/>
  <c r="G142" i="17"/>
  <c r="E51" i="13"/>
  <c r="E108" i="13" s="1"/>
  <c r="F62" i="12"/>
  <c r="G236" i="17"/>
  <c r="G169" i="17"/>
  <c r="G37" i="13"/>
  <c r="G94" i="13" s="1"/>
  <c r="H48" i="12"/>
  <c r="H37" i="13" s="1"/>
  <c r="H94" i="13" s="1"/>
  <c r="E27" i="13"/>
  <c r="E84" i="13" s="1"/>
  <c r="F58" i="11"/>
  <c r="G42" i="17"/>
  <c r="G95" i="17" s="1"/>
  <c r="G111" i="12"/>
  <c r="H204" i="17"/>
  <c r="H137" i="17"/>
  <c r="E92" i="13"/>
  <c r="G50" i="17"/>
  <c r="G103" i="17" s="1"/>
  <c r="G119" i="12"/>
  <c r="F34" i="18"/>
  <c r="F62" i="18" s="1"/>
  <c r="G95" i="12"/>
  <c r="H202" i="17"/>
  <c r="H135" i="17"/>
  <c r="F37" i="18"/>
  <c r="F65" i="18" s="1"/>
  <c r="G98" i="12"/>
  <c r="E125" i="13"/>
  <c r="G183" i="13" s="1"/>
  <c r="F247" i="13"/>
  <c r="D134" i="13"/>
  <c r="F192" i="13" s="1"/>
  <c r="G47" i="17"/>
  <c r="G100" i="17" s="1"/>
  <c r="G116" i="12"/>
  <c r="F11" i="13"/>
  <c r="G42" i="11"/>
  <c r="E24" i="18"/>
  <c r="E55" i="18" s="1"/>
  <c r="F85" i="12"/>
  <c r="E48" i="13"/>
  <c r="E105" i="13" s="1"/>
  <c r="F59" i="12"/>
  <c r="E30" i="14"/>
  <c r="E54" i="14" s="1"/>
  <c r="F84" i="11"/>
  <c r="G233" i="17"/>
  <c r="G166" i="17"/>
  <c r="F253" i="13"/>
  <c r="D140" i="13"/>
  <c r="F198" i="13" s="1"/>
  <c r="E26" i="14"/>
  <c r="E50" i="14" s="1"/>
  <c r="F80" i="11"/>
  <c r="G23" i="17"/>
  <c r="G76" i="17" s="1"/>
  <c r="G106" i="11"/>
  <c r="H57" i="17"/>
  <c r="H110" i="17" s="1"/>
  <c r="H126" i="12"/>
  <c r="I57" i="17" s="1"/>
  <c r="I110" i="17" s="1"/>
  <c r="F36" i="18"/>
  <c r="F64" i="18" s="1"/>
  <c r="G97" i="12"/>
  <c r="E52" i="13"/>
  <c r="E109" i="13" s="1"/>
  <c r="F63" i="12"/>
  <c r="F41" i="13"/>
  <c r="F98" i="13" s="1"/>
  <c r="G52" i="12"/>
  <c r="F116" i="17"/>
  <c r="E27" i="18"/>
  <c r="E58" i="18" s="1"/>
  <c r="F88" i="12"/>
  <c r="G18" i="17"/>
  <c r="G71" i="17" s="1"/>
  <c r="G101" i="11"/>
  <c r="G232" i="17"/>
  <c r="G165" i="17"/>
  <c r="F13" i="14"/>
  <c r="G67" i="11"/>
  <c r="G261" i="13"/>
  <c r="E148" i="13"/>
  <c r="G207" i="13" s="1"/>
  <c r="G27" i="17"/>
  <c r="G80" i="17" s="1"/>
  <c r="G110" i="11"/>
  <c r="E29" i="13"/>
  <c r="E86" i="13" s="1"/>
  <c r="F60" i="11"/>
  <c r="E45" i="13"/>
  <c r="E102" i="13" s="1"/>
  <c r="F56" i="12"/>
  <c r="F247" i="17"/>
  <c r="F184" i="17"/>
  <c r="F20" i="14"/>
  <c r="F44" i="14" s="1"/>
  <c r="G74" i="11"/>
  <c r="E178" i="13"/>
  <c r="H54" i="17"/>
  <c r="H107" i="17" s="1"/>
  <c r="H123" i="12"/>
  <c r="I54" i="17" s="1"/>
  <c r="I107" i="17" s="1"/>
  <c r="E259" i="17"/>
  <c r="D282" i="13"/>
  <c r="K282" i="13" s="1"/>
  <c r="D283" i="13"/>
  <c r="K283" i="13" s="1"/>
  <c r="F19" i="18"/>
  <c r="F50" i="18" s="1"/>
  <c r="G80" i="12"/>
  <c r="H200" i="17"/>
  <c r="H133" i="17"/>
  <c r="F56" i="13"/>
  <c r="F113" i="13" s="1"/>
  <c r="G67" i="12"/>
  <c r="E26" i="18"/>
  <c r="E57" i="18" s="1"/>
  <c r="F87" i="12"/>
  <c r="F273" i="13"/>
  <c r="D160" i="13"/>
  <c r="F219" i="13" s="1"/>
  <c r="H39" i="17"/>
  <c r="H92" i="17" s="1"/>
  <c r="H108" i="12"/>
  <c r="I39" i="17" s="1"/>
  <c r="I92" i="17" s="1"/>
  <c r="H259" i="13"/>
  <c r="F146" i="13"/>
  <c r="H205" i="13" s="1"/>
  <c r="F154" i="18"/>
  <c r="F159" i="18" s="1"/>
  <c r="F168" i="18"/>
  <c r="F169" i="18"/>
  <c r="F249" i="13"/>
  <c r="D136" i="13"/>
  <c r="F194" i="13" s="1"/>
  <c r="G230" i="17"/>
  <c r="G163" i="17"/>
  <c r="F251" i="17"/>
  <c r="F188" i="17"/>
  <c r="F141" i="14"/>
  <c r="G238" i="17"/>
  <c r="G171" i="17"/>
  <c r="G167" i="18"/>
  <c r="E125" i="18"/>
  <c r="E142" i="18" s="1"/>
  <c r="G155" i="18" s="1"/>
  <c r="E126" i="18"/>
  <c r="E143" i="18" s="1"/>
  <c r="G156" i="18" s="1"/>
  <c r="G163" i="18"/>
  <c r="G164" i="18"/>
  <c r="E124" i="18"/>
  <c r="E141" i="18" s="1"/>
  <c r="E25" i="18"/>
  <c r="E56" i="18" s="1"/>
  <c r="F86" i="12"/>
  <c r="F19" i="13"/>
  <c r="F76" i="13" s="1"/>
  <c r="G50" i="11"/>
  <c r="H40" i="17"/>
  <c r="H93" i="17" s="1"/>
  <c r="H109" i="12"/>
  <c r="I40" i="17" s="1"/>
  <c r="I93" i="17" s="1"/>
  <c r="H10" i="17"/>
  <c r="H63" i="17" s="1"/>
  <c r="H93" i="11"/>
  <c r="I10" i="17" s="1"/>
  <c r="I63" i="17" s="1"/>
  <c r="G24" i="17"/>
  <c r="G77" i="17" s="1"/>
  <c r="G107" i="11"/>
  <c r="G235" i="17"/>
  <c r="G168" i="17"/>
  <c r="G29" i="17"/>
  <c r="G82" i="17" s="1"/>
  <c r="G112" i="11"/>
  <c r="F36" i="13"/>
  <c r="F93" i="13" s="1"/>
  <c r="G47" i="12"/>
  <c r="E68" i="13"/>
  <c r="G233" i="13" s="1"/>
  <c r="F270" i="13"/>
  <c r="D157" i="13"/>
  <c r="F216" i="13" s="1"/>
  <c r="G211" i="17"/>
  <c r="G144" i="17"/>
  <c r="H242" i="17"/>
  <c r="H178" i="17"/>
  <c r="F274" i="13"/>
  <c r="D161" i="13"/>
  <c r="F220" i="13" s="1"/>
  <c r="G263" i="13"/>
  <c r="E150" i="13"/>
  <c r="G209" i="13" s="1"/>
  <c r="F21" i="18"/>
  <c r="F52" i="18" s="1"/>
  <c r="G82" i="12"/>
  <c r="G276" i="13"/>
  <c r="E166" i="13"/>
  <c r="G225" i="13" s="1"/>
  <c r="E31" i="14"/>
  <c r="E55" i="14" s="1"/>
  <c r="F85" i="11"/>
  <c r="H55" i="17"/>
  <c r="H108" i="17" s="1"/>
  <c r="H124" i="12"/>
  <c r="I55" i="17" s="1"/>
  <c r="I108" i="17" s="1"/>
  <c r="F35" i="18"/>
  <c r="F63" i="18" s="1"/>
  <c r="G96" i="12"/>
  <c r="G139" i="17"/>
  <c r="G206" i="17"/>
  <c r="E37" i="14"/>
  <c r="F43" i="13"/>
  <c r="F100" i="13" s="1"/>
  <c r="G54" i="12"/>
  <c r="G215" i="17"/>
  <c r="G148" i="17"/>
  <c r="F251" i="13"/>
  <c r="D138" i="13"/>
  <c r="F196" i="13" s="1"/>
  <c r="F267" i="13"/>
  <c r="D154" i="13"/>
  <c r="F213" i="13" s="1"/>
  <c r="H239" i="17"/>
  <c r="H175" i="17"/>
  <c r="N52" i="4"/>
  <c r="N53" i="4" s="1"/>
  <c r="G21" i="17"/>
  <c r="G74" i="17" s="1"/>
  <c r="G104" i="11"/>
  <c r="F118" i="17"/>
  <c r="E46" i="13"/>
  <c r="E103" i="13" s="1"/>
  <c r="F57" i="12"/>
  <c r="H227" i="17"/>
  <c r="H160" i="17"/>
  <c r="H36" i="17"/>
  <c r="H89" i="17" s="1"/>
  <c r="H105" i="12"/>
  <c r="I36" i="17" s="1"/>
  <c r="I89" i="17" s="1"/>
  <c r="G22" i="17"/>
  <c r="G75" i="17" s="1"/>
  <c r="G105" i="11"/>
  <c r="E24" i="13"/>
  <c r="E81" i="13" s="1"/>
  <c r="F55" i="11"/>
  <c r="K57" i="16"/>
  <c r="K59" i="16" s="1"/>
  <c r="K45" i="6"/>
  <c r="N58" i="4"/>
  <c r="N59" i="4" s="1"/>
  <c r="H38" i="17"/>
  <c r="H91" i="17" s="1"/>
  <c r="H107" i="12"/>
  <c r="I38" i="17" s="1"/>
  <c r="I91" i="17" s="1"/>
  <c r="G241" i="13"/>
  <c r="E128" i="13"/>
  <c r="G186" i="13" s="1"/>
  <c r="H228" i="17"/>
  <c r="H161" i="17"/>
  <c r="H198" i="17"/>
  <c r="H131" i="17"/>
  <c r="G212" i="17"/>
  <c r="G145" i="17"/>
  <c r="G217" i="17"/>
  <c r="G150" i="17"/>
  <c r="G258" i="13"/>
  <c r="E145" i="13"/>
  <c r="G204" i="13" s="1"/>
  <c r="E28" i="13"/>
  <c r="E85" i="13" s="1"/>
  <c r="F59" i="11"/>
  <c r="F17" i="14"/>
  <c r="F41" i="14" s="1"/>
  <c r="G71" i="11"/>
  <c r="E47" i="13"/>
  <c r="E104" i="13" s="1"/>
  <c r="F58" i="12"/>
  <c r="G43" i="17"/>
  <c r="G96" i="17" s="1"/>
  <c r="G112" i="12"/>
  <c r="E50" i="13"/>
  <c r="E107" i="13" s="1"/>
  <c r="F61" i="12"/>
  <c r="E22" i="14"/>
  <c r="E46" i="14" s="1"/>
  <c r="F76" i="11"/>
  <c r="C12" i="14"/>
  <c r="C35" i="14"/>
  <c r="E159" i="14" s="1"/>
  <c r="F14" i="13"/>
  <c r="F71" i="13" s="1"/>
  <c r="H236" i="13" s="1"/>
  <c r="G45" i="11"/>
  <c r="E23" i="14"/>
  <c r="E47" i="14" s="1"/>
  <c r="G152" i="14" s="1"/>
  <c r="F77" i="11"/>
  <c r="F115" i="17"/>
  <c r="E21" i="13"/>
  <c r="E78" i="13" s="1"/>
  <c r="G243" i="13" s="1"/>
  <c r="F52" i="11"/>
  <c r="F57" i="13"/>
  <c r="F114" i="13" s="1"/>
  <c r="G68" i="12"/>
  <c r="H240" i="17"/>
  <c r="H176" i="17"/>
  <c r="H9" i="17"/>
  <c r="H62" i="17" s="1"/>
  <c r="H92" i="11"/>
  <c r="I9" i="17" s="1"/>
  <c r="I62" i="17" s="1"/>
  <c r="F12" i="13"/>
  <c r="F69" i="13" s="1"/>
  <c r="H234" i="13" s="1"/>
  <c r="G43" i="11"/>
  <c r="H13" i="17"/>
  <c r="H66" i="17" s="1"/>
  <c r="H96" i="11"/>
  <c r="I13" i="17" s="1"/>
  <c r="I66" i="17" s="1"/>
  <c r="G265" i="13"/>
  <c r="E152" i="13"/>
  <c r="G211" i="13" s="1"/>
  <c r="F17" i="13"/>
  <c r="F74" i="13" s="1"/>
  <c r="G48" i="11"/>
  <c r="G53" i="17"/>
  <c r="G106" i="17" s="1"/>
  <c r="H174" i="17" s="1"/>
  <c r="G122" i="12"/>
  <c r="G46" i="17"/>
  <c r="G99" i="17" s="1"/>
  <c r="G115" i="12"/>
  <c r="H56" i="17"/>
  <c r="H109" i="17" s="1"/>
  <c r="H125" i="12"/>
  <c r="I56" i="17" s="1"/>
  <c r="I109" i="17" s="1"/>
  <c r="E49" i="13"/>
  <c r="E106" i="13" s="1"/>
  <c r="F60" i="12"/>
  <c r="F30" i="13"/>
  <c r="F87" i="13" s="1"/>
  <c r="G61" i="11"/>
  <c r="K33" i="6"/>
  <c r="H14" i="17"/>
  <c r="H67" i="17" s="1"/>
  <c r="H97" i="11"/>
  <c r="I14" i="17" s="1"/>
  <c r="I67" i="17" s="1"/>
  <c r="G45" i="17"/>
  <c r="G98" i="17" s="1"/>
  <c r="G114" i="12"/>
  <c r="E13" i="8"/>
  <c r="F48" i="4"/>
  <c r="G47" i="4" s="1"/>
  <c r="G235" i="13"/>
  <c r="E122" i="13"/>
  <c r="G180" i="13" s="1"/>
  <c r="E31" i="18"/>
  <c r="F92" i="12"/>
  <c r="F268" i="13"/>
  <c r="D155" i="13"/>
  <c r="F214" i="13" s="1"/>
  <c r="C65" i="13"/>
  <c r="E200" i="13" s="1"/>
  <c r="C10" i="13"/>
  <c r="H224" i="17"/>
  <c r="H157" i="17"/>
  <c r="G210" i="17"/>
  <c r="G143" i="17"/>
  <c r="F246" i="13"/>
  <c r="D133" i="13"/>
  <c r="F191" i="13" s="1"/>
  <c r="F17" i="18"/>
  <c r="F48" i="18" s="1"/>
  <c r="G78" i="12"/>
  <c r="H226" i="17"/>
  <c r="H159" i="17"/>
  <c r="F16" i="14"/>
  <c r="F40" i="14" s="1"/>
  <c r="H155" i="14" s="1"/>
  <c r="G70" i="11"/>
  <c r="E28" i="18"/>
  <c r="E59" i="18" s="1"/>
  <c r="F89" i="12"/>
  <c r="G28" i="17"/>
  <c r="G81" i="17" s="1"/>
  <c r="G111" i="11"/>
  <c r="H34" i="17"/>
  <c r="H87" i="17" s="1"/>
  <c r="H103" i="12"/>
  <c r="I34" i="17" s="1"/>
  <c r="I87" i="17" s="1"/>
  <c r="G25" i="17"/>
  <c r="G78" i="17" s="1"/>
  <c r="G108" i="11"/>
  <c r="F250" i="13"/>
  <c r="D137" i="13"/>
  <c r="F195" i="13" s="1"/>
  <c r="E24" i="14"/>
  <c r="E48" i="14" s="1"/>
  <c r="F78" i="11"/>
  <c r="F269" i="13"/>
  <c r="D156" i="13"/>
  <c r="F215" i="13" s="1"/>
  <c r="G231" i="17"/>
  <c r="G164" i="17"/>
  <c r="F272" i="13"/>
  <c r="D159" i="13"/>
  <c r="F218" i="13" s="1"/>
  <c r="E28" i="14"/>
  <c r="E52" i="14" s="1"/>
  <c r="F82" i="11"/>
  <c r="E123" i="13"/>
  <c r="G181" i="13" s="1"/>
  <c r="D96" i="14"/>
  <c r="D95" i="14"/>
  <c r="F139" i="14" s="1"/>
  <c r="F114" i="17"/>
  <c r="D130" i="13"/>
  <c r="F188" i="13" s="1"/>
  <c r="G49" i="17"/>
  <c r="G102" i="17" s="1"/>
  <c r="G118" i="12"/>
  <c r="H197" i="17"/>
  <c r="H130" i="17"/>
  <c r="E121" i="13"/>
  <c r="G179" i="13" s="1"/>
  <c r="E33" i="18"/>
  <c r="F94" i="12"/>
  <c r="H41" i="17"/>
  <c r="H94" i="17" s="1"/>
  <c r="H110" i="12"/>
  <c r="I41" i="17" s="1"/>
  <c r="I94" i="17" s="1"/>
  <c r="H201" i="17"/>
  <c r="H134" i="17"/>
  <c r="G239" i="13"/>
  <c r="E126" i="13"/>
  <c r="G184" i="13" s="1"/>
  <c r="G234" i="17"/>
  <c r="G167" i="17"/>
  <c r="H241" i="17"/>
  <c r="H177" i="17"/>
  <c r="F271" i="13"/>
  <c r="D158" i="13"/>
  <c r="F217" i="13" s="1"/>
  <c r="G252" i="13"/>
  <c r="E139" i="13"/>
  <c r="G197" i="13" s="1"/>
  <c r="E26" i="13"/>
  <c r="E83" i="13" s="1"/>
  <c r="F57" i="11"/>
  <c r="H16" i="17"/>
  <c r="H69" i="17" s="1"/>
  <c r="H99" i="11"/>
  <c r="I16" i="17" s="1"/>
  <c r="I69" i="17" s="1"/>
  <c r="H11" i="17"/>
  <c r="H64" i="17" s="1"/>
  <c r="H94" i="11"/>
  <c r="I11" i="17" s="1"/>
  <c r="I64" i="17" s="1"/>
  <c r="F40" i="13"/>
  <c r="F97" i="13" s="1"/>
  <c r="G51" i="12"/>
  <c r="E22" i="13"/>
  <c r="E79" i="13" s="1"/>
  <c r="F53" i="11"/>
  <c r="E71" i="14"/>
  <c r="E70" i="14"/>
  <c r="G142" i="14" s="1"/>
  <c r="D120" i="13"/>
  <c r="G216" i="17"/>
  <c r="G149" i="17"/>
  <c r="H222" i="17"/>
  <c r="H155" i="17"/>
  <c r="G213" i="17"/>
  <c r="G146" i="17"/>
  <c r="D39" i="18"/>
  <c r="E23" i="18"/>
  <c r="E54" i="18" s="1"/>
  <c r="F84" i="12"/>
  <c r="E32" i="18"/>
  <c r="F93" i="12"/>
  <c r="F14" i="18"/>
  <c r="G75" i="12"/>
  <c r="F19" i="14"/>
  <c r="F43" i="14" s="1"/>
  <c r="G73" i="11"/>
  <c r="G20" i="17"/>
  <c r="G73" i="17" s="1"/>
  <c r="G103" i="11"/>
  <c r="D32" i="14"/>
  <c r="F156" i="14" s="1"/>
  <c r="G237" i="17"/>
  <c r="G170" i="17"/>
  <c r="J223" i="17"/>
  <c r="J156" i="17"/>
  <c r="F246" i="17"/>
  <c r="F183" i="17"/>
  <c r="H229" i="17"/>
  <c r="H162" i="17"/>
  <c r="H15" i="17"/>
  <c r="H68" i="17" s="1"/>
  <c r="H98" i="11"/>
  <c r="I15" i="17" s="1"/>
  <c r="I68" i="17" s="1"/>
  <c r="F20" i="18"/>
  <c r="F51" i="18" s="1"/>
  <c r="G81" i="12"/>
  <c r="E29" i="18"/>
  <c r="E60" i="18" s="1"/>
  <c r="F90" i="12"/>
  <c r="F248" i="13"/>
  <c r="D135" i="13"/>
  <c r="F193" i="13" s="1"/>
  <c r="E30" i="18"/>
  <c r="E61" i="18" s="1"/>
  <c r="F91" i="12"/>
  <c r="F16" i="13"/>
  <c r="F73" i="13" s="1"/>
  <c r="H238" i="13" s="1"/>
  <c r="G47" i="11"/>
  <c r="E31" i="13"/>
  <c r="E88" i="13" s="1"/>
  <c r="F62" i="11"/>
  <c r="G19" i="17"/>
  <c r="G72" i="17" s="1"/>
  <c r="G102" i="11"/>
  <c r="F250" i="17"/>
  <c r="F187" i="17"/>
  <c r="D61" i="13"/>
  <c r="H199" i="17"/>
  <c r="H132" i="17"/>
  <c r="F18" i="13"/>
  <c r="F75" i="13" s="1"/>
  <c r="G49" i="11"/>
  <c r="E23" i="13"/>
  <c r="E80" i="13" s="1"/>
  <c r="F54" i="11"/>
  <c r="F42" i="13"/>
  <c r="F99" i="13" s="1"/>
  <c r="G53" i="12"/>
  <c r="G262" i="13"/>
  <c r="E149" i="13"/>
  <c r="G208" i="13" s="1"/>
  <c r="F244" i="13"/>
  <c r="D131" i="13"/>
  <c r="F189" i="13" s="1"/>
  <c r="E25" i="14"/>
  <c r="E49" i="14" s="1"/>
  <c r="F79" i="11"/>
  <c r="F38" i="13"/>
  <c r="F95" i="13" s="1"/>
  <c r="G49" i="12"/>
  <c r="H33" i="17"/>
  <c r="H86" i="17" s="1"/>
  <c r="H102" i="12"/>
  <c r="I33" i="17" s="1"/>
  <c r="I86" i="17" s="1"/>
  <c r="F18" i="14"/>
  <c r="F42" i="14" s="1"/>
  <c r="H154" i="14" s="1"/>
  <c r="G72" i="11"/>
  <c r="G52" i="17"/>
  <c r="G105" i="17" s="1"/>
  <c r="H173" i="17" s="1"/>
  <c r="G121" i="12"/>
  <c r="F15" i="13"/>
  <c r="F72" i="13" s="1"/>
  <c r="G46" i="11"/>
  <c r="E45" i="18"/>
  <c r="G208" i="17"/>
  <c r="G141" i="17"/>
  <c r="F140" i="14"/>
  <c r="E20" i="13"/>
  <c r="E77" i="13" s="1"/>
  <c r="G242" i="13" s="1"/>
  <c r="F51" i="11"/>
  <c r="F16" i="18"/>
  <c r="F47" i="18" s="1"/>
  <c r="G77" i="12"/>
  <c r="G278" i="13"/>
  <c r="E168" i="13"/>
  <c r="G227" i="13" s="1"/>
  <c r="I223" i="17"/>
  <c r="I156" i="17"/>
  <c r="C12" i="18"/>
  <c r="C42" i="18"/>
  <c r="E44" i="13"/>
  <c r="E101" i="13" s="1"/>
  <c r="F55" i="12"/>
  <c r="D159" i="14"/>
  <c r="D146" i="14"/>
  <c r="D148" i="14" s="1"/>
  <c r="H203" i="17"/>
  <c r="H136" i="17"/>
  <c r="G277" i="13"/>
  <c r="E167" i="13"/>
  <c r="G226" i="13" s="1"/>
  <c r="F35" i="13"/>
  <c r="G46" i="12"/>
  <c r="E25" i="13"/>
  <c r="E82" i="13" s="1"/>
  <c r="F56" i="11"/>
  <c r="G140" i="17"/>
  <c r="G207" i="17"/>
  <c r="F257" i="13"/>
  <c r="D144" i="13"/>
  <c r="F203" i="13" s="1"/>
  <c r="G51" i="17"/>
  <c r="G104" i="17" s="1"/>
  <c r="H172" i="17" s="1"/>
  <c r="G120" i="12"/>
  <c r="G240" i="13"/>
  <c r="E127" i="13"/>
  <c r="G185" i="13" s="1"/>
  <c r="F245" i="13"/>
  <c r="D132" i="13"/>
  <c r="F190" i="13" s="1"/>
  <c r="G264" i="13"/>
  <c r="E151" i="13"/>
  <c r="G210" i="13" s="1"/>
  <c r="D165" i="18"/>
  <c r="D166" i="18"/>
  <c r="G260" i="13"/>
  <c r="E147" i="13"/>
  <c r="G206" i="13" s="1"/>
  <c r="H221" i="17"/>
  <c r="H154" i="17"/>
  <c r="E79" i="14"/>
  <c r="E78" i="14"/>
  <c r="F18" i="18"/>
  <c r="F49" i="18" s="1"/>
  <c r="G79" i="12"/>
  <c r="G237" i="13"/>
  <c r="E124" i="13"/>
  <c r="G182" i="13" s="1"/>
  <c r="F21" i="14"/>
  <c r="F45" i="14" s="1"/>
  <c r="G75" i="11"/>
  <c r="H12" i="17"/>
  <c r="H65" i="17" s="1"/>
  <c r="H95" i="11"/>
  <c r="I12" i="17" s="1"/>
  <c r="I65" i="17" s="1"/>
  <c r="F13" i="13"/>
  <c r="F70" i="13" s="1"/>
  <c r="G44" i="11"/>
  <c r="F15" i="14"/>
  <c r="F39" i="14" s="1"/>
  <c r="G69" i="11"/>
  <c r="F119" i="17"/>
  <c r="G275" i="13"/>
  <c r="E165" i="13"/>
  <c r="G224" i="13" s="1"/>
  <c r="D129" i="13"/>
  <c r="F187" i="13" s="1"/>
  <c r="F59" i="13"/>
  <c r="F116" i="13" s="1"/>
  <c r="G70" i="12"/>
  <c r="H37" i="17"/>
  <c r="H90" i="17" s="1"/>
  <c r="H106" i="12"/>
  <c r="I37" i="17" s="1"/>
  <c r="I90" i="17" s="1"/>
  <c r="F14" i="14"/>
  <c r="F38" i="14" s="1"/>
  <c r="H153" i="14" s="1"/>
  <c r="G68" i="11"/>
  <c r="F266" i="13"/>
  <c r="D153" i="13"/>
  <c r="F212" i="13" s="1"/>
  <c r="D157" i="14"/>
  <c r="D158" i="14"/>
  <c r="E22" i="18"/>
  <c r="E53" i="18" s="1"/>
  <c r="F83" i="12"/>
  <c r="F253" i="17"/>
  <c r="E27" i="14"/>
  <c r="E51" i="14" s="1"/>
  <c r="F81" i="11"/>
  <c r="E144" i="14"/>
  <c r="M46" i="4"/>
  <c r="M48" i="4" s="1"/>
  <c r="F58" i="13"/>
  <c r="F115" i="13" s="1"/>
  <c r="G69" i="12"/>
  <c r="E229" i="13" l="1"/>
  <c r="F284" i="13"/>
  <c r="F285" i="13"/>
  <c r="E33" i="13"/>
  <c r="E282" i="13"/>
  <c r="E283" i="13"/>
  <c r="F160" i="14"/>
  <c r="F161" i="14"/>
  <c r="E157" i="14"/>
  <c r="E158" i="14"/>
  <c r="I57" i="4"/>
  <c r="I60" i="4" s="1"/>
  <c r="I59" i="4"/>
  <c r="H39" i="4"/>
  <c r="H41" i="4"/>
  <c r="F62" i="4"/>
  <c r="E32" i="7" s="1"/>
  <c r="F42" i="10" s="1"/>
  <c r="F35" i="4"/>
  <c r="F36" i="4"/>
  <c r="Q61" i="4"/>
  <c r="I61" i="4"/>
  <c r="O41" i="4"/>
  <c r="N34" i="4"/>
  <c r="N35" i="4" s="1"/>
  <c r="N60" i="4"/>
  <c r="O57" i="4" s="1"/>
  <c r="O58" i="4" s="1"/>
  <c r="E44" i="6"/>
  <c r="D274" i="17"/>
  <c r="D276" i="17" s="1"/>
  <c r="F191" i="17"/>
  <c r="G118" i="17"/>
  <c r="H187" i="17" s="1"/>
  <c r="E15" i="6"/>
  <c r="F7" i="6" s="1"/>
  <c r="E16" i="6"/>
  <c r="D167" i="14" s="1"/>
  <c r="D169" i="14" s="1"/>
  <c r="E262" i="17"/>
  <c r="F44" i="6" s="1"/>
  <c r="G6" i="6"/>
  <c r="F259" i="17" s="1"/>
  <c r="G14" i="6"/>
  <c r="F260" i="17" s="1"/>
  <c r="F144" i="14"/>
  <c r="G18" i="18"/>
  <c r="G49" i="18" s="1"/>
  <c r="H79" i="12"/>
  <c r="H18" i="18" s="1"/>
  <c r="H49" i="18" s="1"/>
  <c r="N45" i="4"/>
  <c r="H278" i="13"/>
  <c r="F168" i="13"/>
  <c r="H227" i="13" s="1"/>
  <c r="H237" i="13"/>
  <c r="F124" i="13"/>
  <c r="H182" i="13" s="1"/>
  <c r="G38" i="13"/>
  <c r="G95" i="13" s="1"/>
  <c r="H49" i="12"/>
  <c r="H38" i="13" s="1"/>
  <c r="H95" i="13" s="1"/>
  <c r="G42" i="13"/>
  <c r="G99" i="13" s="1"/>
  <c r="H53" i="12"/>
  <c r="H42" i="13" s="1"/>
  <c r="H99" i="13" s="1"/>
  <c r="G16" i="13"/>
  <c r="G73" i="13" s="1"/>
  <c r="I238" i="13" s="1"/>
  <c r="H47" i="11"/>
  <c r="H16" i="13" s="1"/>
  <c r="H73" i="13" s="1"/>
  <c r="J238" i="13" s="1"/>
  <c r="G20" i="18"/>
  <c r="G51" i="18" s="1"/>
  <c r="H81" i="12"/>
  <c r="H20" i="18" s="1"/>
  <c r="H51" i="18" s="1"/>
  <c r="G19" i="14"/>
  <c r="G43" i="14" s="1"/>
  <c r="H73" i="11"/>
  <c r="H19" i="14" s="1"/>
  <c r="H43" i="14" s="1"/>
  <c r="D42" i="18"/>
  <c r="D12" i="18"/>
  <c r="J199" i="17"/>
  <c r="J132" i="17"/>
  <c r="I229" i="17"/>
  <c r="I162" i="17"/>
  <c r="G245" i="17"/>
  <c r="G182" i="17"/>
  <c r="I222" i="17"/>
  <c r="I155" i="17"/>
  <c r="I202" i="17"/>
  <c r="I135" i="17"/>
  <c r="G30" i="13"/>
  <c r="G87" i="13" s="1"/>
  <c r="H61" i="11"/>
  <c r="H30" i="13" s="1"/>
  <c r="H87" i="13" s="1"/>
  <c r="H53" i="17"/>
  <c r="H106" i="17" s="1"/>
  <c r="I174" i="17" s="1"/>
  <c r="H122" i="12"/>
  <c r="I53" i="17" s="1"/>
  <c r="I106" i="17" s="1"/>
  <c r="G12" i="13"/>
  <c r="G69" i="13" s="1"/>
  <c r="I234" i="13" s="1"/>
  <c r="H43" i="11"/>
  <c r="H12" i="13" s="1"/>
  <c r="H69" i="13" s="1"/>
  <c r="J234" i="13" s="1"/>
  <c r="F21" i="13"/>
  <c r="F78" i="13" s="1"/>
  <c r="H243" i="13" s="1"/>
  <c r="G52" i="11"/>
  <c r="F47" i="13"/>
  <c r="F104" i="13" s="1"/>
  <c r="G58" i="12"/>
  <c r="J224" i="17"/>
  <c r="J157" i="17"/>
  <c r="N54" i="4"/>
  <c r="O51" i="4" s="1"/>
  <c r="H258" i="13"/>
  <c r="F145" i="13"/>
  <c r="H204" i="13" s="1"/>
  <c r="I198" i="17"/>
  <c r="I131" i="17"/>
  <c r="G267" i="13"/>
  <c r="E154" i="13"/>
  <c r="G213" i="13" s="1"/>
  <c r="F37" i="14"/>
  <c r="G41" i="13"/>
  <c r="G98" i="13" s="1"/>
  <c r="H52" i="12"/>
  <c r="H41" i="13" s="1"/>
  <c r="H98" i="13" s="1"/>
  <c r="H23" i="17"/>
  <c r="H76" i="17" s="1"/>
  <c r="H106" i="11"/>
  <c r="I23" i="17" s="1"/>
  <c r="I76" i="17" s="1"/>
  <c r="F30" i="14"/>
  <c r="F54" i="14" s="1"/>
  <c r="G84" i="11"/>
  <c r="H47" i="17"/>
  <c r="H100" i="17" s="1"/>
  <c r="H116" i="12"/>
  <c r="I47" i="17" s="1"/>
  <c r="I100" i="17" s="1"/>
  <c r="H48" i="17"/>
  <c r="H101" i="17" s="1"/>
  <c r="H117" i="12"/>
  <c r="I48" i="17" s="1"/>
  <c r="I101" i="17" s="1"/>
  <c r="G253" i="17"/>
  <c r="F25" i="13"/>
  <c r="F82" i="13" s="1"/>
  <c r="G56" i="11"/>
  <c r="B9" i="7"/>
  <c r="E35" i="6"/>
  <c r="B8" i="7"/>
  <c r="E34" i="6"/>
  <c r="H260" i="13"/>
  <c r="F147" i="13"/>
  <c r="H206" i="13" s="1"/>
  <c r="H264" i="13"/>
  <c r="F151" i="13"/>
  <c r="H210" i="13" s="1"/>
  <c r="F125" i="13"/>
  <c r="H183" i="13" s="1"/>
  <c r="I199" i="17"/>
  <c r="I132" i="17"/>
  <c r="F26" i="13"/>
  <c r="F83" i="13" s="1"/>
  <c r="G57" i="11"/>
  <c r="F33" i="18"/>
  <c r="G94" i="12"/>
  <c r="G33" i="18" s="1"/>
  <c r="H28" i="17"/>
  <c r="H81" i="17" s="1"/>
  <c r="H111" i="11"/>
  <c r="I28" i="17" s="1"/>
  <c r="I81" i="17" s="1"/>
  <c r="H252" i="13"/>
  <c r="F139" i="13"/>
  <c r="H197" i="13" s="1"/>
  <c r="F121" i="13"/>
  <c r="H179" i="13" s="1"/>
  <c r="E130" i="13"/>
  <c r="G188" i="13" s="1"/>
  <c r="G269" i="13"/>
  <c r="E156" i="13"/>
  <c r="G215" i="13" s="1"/>
  <c r="I224" i="17"/>
  <c r="I157" i="17"/>
  <c r="G35" i="18"/>
  <c r="G63" i="18" s="1"/>
  <c r="H96" i="12"/>
  <c r="H35" i="18" s="1"/>
  <c r="H63" i="18" s="1"/>
  <c r="G21" i="18"/>
  <c r="G52" i="18" s="1"/>
  <c r="H82" i="12"/>
  <c r="H21" i="18" s="1"/>
  <c r="H52" i="18" s="1"/>
  <c r="H29" i="17"/>
  <c r="H82" i="17" s="1"/>
  <c r="H112" i="11"/>
  <c r="I29" i="17" s="1"/>
  <c r="I82" i="17" s="1"/>
  <c r="J228" i="17"/>
  <c r="J161" i="17"/>
  <c r="F26" i="18"/>
  <c r="F57" i="18" s="1"/>
  <c r="G87" i="12"/>
  <c r="F29" i="13"/>
  <c r="F86" i="13" s="1"/>
  <c r="G60" i="11"/>
  <c r="H263" i="13"/>
  <c r="F150" i="13"/>
  <c r="H209" i="13" s="1"/>
  <c r="H144" i="17"/>
  <c r="H211" i="17"/>
  <c r="H235" i="17"/>
  <c r="H168" i="17"/>
  <c r="H236" i="17"/>
  <c r="H169" i="17"/>
  <c r="F27" i="14"/>
  <c r="F51" i="14" s="1"/>
  <c r="G81" i="11"/>
  <c r="H235" i="13"/>
  <c r="F122" i="13"/>
  <c r="H180" i="13" s="1"/>
  <c r="H51" i="17"/>
  <c r="H104" i="17" s="1"/>
  <c r="I172" i="17" s="1"/>
  <c r="H120" i="12"/>
  <c r="I51" i="17" s="1"/>
  <c r="I104" i="17" s="1"/>
  <c r="G247" i="13"/>
  <c r="E134" i="13"/>
  <c r="G192" i="13" s="1"/>
  <c r="H52" i="17"/>
  <c r="H105" i="17" s="1"/>
  <c r="I173" i="17" s="1"/>
  <c r="H121" i="12"/>
  <c r="I52" i="17" s="1"/>
  <c r="I105" i="17" s="1"/>
  <c r="F25" i="14"/>
  <c r="F49" i="14" s="1"/>
  <c r="G79" i="11"/>
  <c r="F23" i="13"/>
  <c r="F80" i="13" s="1"/>
  <c r="G54" i="11"/>
  <c r="F30" i="18"/>
  <c r="F61" i="18" s="1"/>
  <c r="G91" i="12"/>
  <c r="J203" i="17"/>
  <c r="J136" i="17"/>
  <c r="G14" i="18"/>
  <c r="H75" i="12"/>
  <c r="H14" i="18" s="1"/>
  <c r="J204" i="17"/>
  <c r="J137" i="17"/>
  <c r="G248" i="13"/>
  <c r="E135" i="13"/>
  <c r="G193" i="13" s="1"/>
  <c r="G119" i="17"/>
  <c r="H216" i="17"/>
  <c r="H149" i="17"/>
  <c r="G254" i="17"/>
  <c r="F49" i="13"/>
  <c r="F106" i="13" s="1"/>
  <c r="G60" i="12"/>
  <c r="G17" i="13"/>
  <c r="G74" i="13" s="1"/>
  <c r="H48" i="11"/>
  <c r="H17" i="13" s="1"/>
  <c r="H74" i="13" s="1"/>
  <c r="J197" i="17"/>
  <c r="J130" i="17"/>
  <c r="G246" i="17"/>
  <c r="G183" i="17"/>
  <c r="F22" i="14"/>
  <c r="F46" i="14" s="1"/>
  <c r="G76" i="11"/>
  <c r="H21" i="17"/>
  <c r="H74" i="17" s="1"/>
  <c r="H104" i="11"/>
  <c r="I21" i="17" s="1"/>
  <c r="I74" i="17" s="1"/>
  <c r="H217" i="17"/>
  <c r="H150" i="17"/>
  <c r="I228" i="17"/>
  <c r="I161" i="17"/>
  <c r="G251" i="13"/>
  <c r="E138" i="13"/>
  <c r="G196" i="13" s="1"/>
  <c r="F52" i="13"/>
  <c r="F109" i="13" s="1"/>
  <c r="G63" i="12"/>
  <c r="F26" i="14"/>
  <c r="F50" i="14" s="1"/>
  <c r="G80" i="11"/>
  <c r="F48" i="13"/>
  <c r="F105" i="13" s="1"/>
  <c r="G59" i="12"/>
  <c r="G34" i="18"/>
  <c r="G62" i="18" s="1"/>
  <c r="H95" i="12"/>
  <c r="H34" i="18" s="1"/>
  <c r="H62" i="18" s="1"/>
  <c r="H42" i="17"/>
  <c r="H95" i="17" s="1"/>
  <c r="H111" i="12"/>
  <c r="I42" i="17" s="1"/>
  <c r="I95" i="17" s="1"/>
  <c r="F51" i="13"/>
  <c r="F108" i="13" s="1"/>
  <c r="G62" i="12"/>
  <c r="G14" i="14"/>
  <c r="G38" i="14" s="1"/>
  <c r="I153" i="14" s="1"/>
  <c r="H68" i="11"/>
  <c r="H14" i="14" s="1"/>
  <c r="H38" i="14" s="1"/>
  <c r="J153" i="14" s="1"/>
  <c r="J200" i="17"/>
  <c r="J133" i="17"/>
  <c r="G141" i="14"/>
  <c r="G35" i="13"/>
  <c r="H46" i="12"/>
  <c r="H35" i="13" s="1"/>
  <c r="F44" i="13"/>
  <c r="F101" i="13" s="1"/>
  <c r="G55" i="12"/>
  <c r="G16" i="18"/>
  <c r="G47" i="18" s="1"/>
  <c r="H77" i="12"/>
  <c r="H16" i="18" s="1"/>
  <c r="H47" i="18" s="1"/>
  <c r="G245" i="13"/>
  <c r="E132" i="13"/>
  <c r="G190" i="13" s="1"/>
  <c r="H19" i="17"/>
  <c r="H72" i="17" s="1"/>
  <c r="H102" i="11"/>
  <c r="I19" i="17" s="1"/>
  <c r="I72" i="17" s="1"/>
  <c r="I203" i="17"/>
  <c r="I136" i="17"/>
  <c r="F45" i="18"/>
  <c r="I204" i="17"/>
  <c r="I137" i="17"/>
  <c r="D65" i="13"/>
  <c r="F200" i="13" s="1"/>
  <c r="D10" i="13"/>
  <c r="G17" i="18"/>
  <c r="G48" i="18" s="1"/>
  <c r="H78" i="12"/>
  <c r="H17" i="18" s="1"/>
  <c r="H48" i="18" s="1"/>
  <c r="G45" i="4"/>
  <c r="G271" i="13"/>
  <c r="E158" i="13"/>
  <c r="G217" i="13" s="1"/>
  <c r="H239" i="13"/>
  <c r="F126" i="13"/>
  <c r="H184" i="13" s="1"/>
  <c r="I197" i="17"/>
  <c r="I130" i="17"/>
  <c r="F23" i="14"/>
  <c r="F47" i="14" s="1"/>
  <c r="H152" i="14" s="1"/>
  <c r="G77" i="11"/>
  <c r="G17" i="14"/>
  <c r="G41" i="14" s="1"/>
  <c r="H71" i="11"/>
  <c r="H17" i="14" s="1"/>
  <c r="H41" i="14" s="1"/>
  <c r="H142" i="17"/>
  <c r="H209" i="17"/>
  <c r="G43" i="13"/>
  <c r="G100" i="13" s="1"/>
  <c r="H54" i="12"/>
  <c r="H43" i="13" s="1"/>
  <c r="H100" i="13" s="1"/>
  <c r="J240" i="17"/>
  <c r="J176" i="17"/>
  <c r="G19" i="13"/>
  <c r="G76" i="13" s="1"/>
  <c r="H50" i="11"/>
  <c r="H19" i="13" s="1"/>
  <c r="H76" i="13" s="1"/>
  <c r="G56" i="13"/>
  <c r="G113" i="13" s="1"/>
  <c r="H67" i="12"/>
  <c r="H56" i="13" s="1"/>
  <c r="H113" i="13" s="1"/>
  <c r="G20" i="14"/>
  <c r="G44" i="14" s="1"/>
  <c r="H74" i="11"/>
  <c r="H20" i="14" s="1"/>
  <c r="H44" i="14" s="1"/>
  <c r="H27" i="17"/>
  <c r="H80" i="17" s="1"/>
  <c r="H110" i="11"/>
  <c r="I27" i="17" s="1"/>
  <c r="I80" i="17" s="1"/>
  <c r="H18" i="17"/>
  <c r="H71" i="17" s="1"/>
  <c r="H101" i="11"/>
  <c r="I18" i="17" s="1"/>
  <c r="I71" i="17" s="1"/>
  <c r="G274" i="13"/>
  <c r="E161" i="13"/>
  <c r="G220" i="13" s="1"/>
  <c r="G270" i="13"/>
  <c r="E157" i="13"/>
  <c r="G216" i="13" s="1"/>
  <c r="F126" i="18"/>
  <c r="F143" i="18" s="1"/>
  <c r="H156" i="18" s="1"/>
  <c r="H163" i="18"/>
  <c r="H164" i="18"/>
  <c r="F124" i="18"/>
  <c r="F141" i="18" s="1"/>
  <c r="H167" i="18"/>
  <c r="F125" i="18"/>
  <c r="F142" i="18" s="1"/>
  <c r="H155" i="18" s="1"/>
  <c r="H230" i="17"/>
  <c r="H163" i="17"/>
  <c r="G273" i="13"/>
  <c r="E160" i="13"/>
  <c r="G219" i="13" s="1"/>
  <c r="G39" i="13"/>
  <c r="G96" i="13" s="1"/>
  <c r="H50" i="12"/>
  <c r="H39" i="13" s="1"/>
  <c r="H96" i="13" s="1"/>
  <c r="G13" i="13"/>
  <c r="G70" i="13" s="1"/>
  <c r="H44" i="11"/>
  <c r="H13" i="13" s="1"/>
  <c r="H70" i="13" s="1"/>
  <c r="G58" i="13"/>
  <c r="G115" i="13" s="1"/>
  <c r="H69" i="12"/>
  <c r="H58" i="13" s="1"/>
  <c r="H115" i="13" s="1"/>
  <c r="F92" i="13"/>
  <c r="G266" i="13"/>
  <c r="E153" i="13"/>
  <c r="G212" i="13" s="1"/>
  <c r="G18" i="14"/>
  <c r="G42" i="14" s="1"/>
  <c r="I154" i="14" s="1"/>
  <c r="H72" i="11"/>
  <c r="H18" i="14" s="1"/>
  <c r="H42" i="14" s="1"/>
  <c r="J154" i="14" s="1"/>
  <c r="G18" i="13"/>
  <c r="G75" i="13" s="1"/>
  <c r="H49" i="11"/>
  <c r="H18" i="13" s="1"/>
  <c r="H75" i="13" s="1"/>
  <c r="H140" i="17"/>
  <c r="H207" i="17"/>
  <c r="D35" i="14"/>
  <c r="F159" i="14" s="1"/>
  <c r="D12" i="14"/>
  <c r="F32" i="18"/>
  <c r="G93" i="12"/>
  <c r="G32" i="18" s="1"/>
  <c r="F22" i="13"/>
  <c r="F79" i="13" s="1"/>
  <c r="G53" i="11"/>
  <c r="H49" i="17"/>
  <c r="H102" i="17" s="1"/>
  <c r="H118" i="12"/>
  <c r="I49" i="17" s="1"/>
  <c r="I102" i="17" s="1"/>
  <c r="F28" i="18"/>
  <c r="F59" i="18" s="1"/>
  <c r="G89" i="12"/>
  <c r="J241" i="17"/>
  <c r="J177" i="17"/>
  <c r="E95" i="14"/>
  <c r="G139" i="14" s="1"/>
  <c r="E96" i="14"/>
  <c r="F50" i="13"/>
  <c r="F107" i="13" s="1"/>
  <c r="G61" i="12"/>
  <c r="F24" i="13"/>
  <c r="F81" i="13" s="1"/>
  <c r="G55" i="11"/>
  <c r="F46" i="13"/>
  <c r="F103" i="13" s="1"/>
  <c r="G57" i="12"/>
  <c r="H265" i="13"/>
  <c r="F152" i="13"/>
  <c r="H211" i="13" s="1"/>
  <c r="I240" i="17"/>
  <c r="I176" i="17"/>
  <c r="H241" i="13"/>
  <c r="F128" i="13"/>
  <c r="H186" i="13" s="1"/>
  <c r="H275" i="13"/>
  <c r="F165" i="13"/>
  <c r="H224" i="13" s="1"/>
  <c r="H215" i="17"/>
  <c r="H148" i="17"/>
  <c r="H139" i="17"/>
  <c r="H206" i="17"/>
  <c r="G36" i="18"/>
  <c r="G64" i="18" s="1"/>
  <c r="H97" i="12"/>
  <c r="H36" i="18" s="1"/>
  <c r="H64" i="18" s="1"/>
  <c r="F24" i="18"/>
  <c r="F55" i="18" s="1"/>
  <c r="G85" i="12"/>
  <c r="H50" i="17"/>
  <c r="H103" i="17" s="1"/>
  <c r="H119" i="12"/>
  <c r="I50" i="17" s="1"/>
  <c r="I103" i="17" s="1"/>
  <c r="F27" i="13"/>
  <c r="F84" i="13" s="1"/>
  <c r="G58" i="11"/>
  <c r="H261" i="13"/>
  <c r="F148" i="13"/>
  <c r="H207" i="13" s="1"/>
  <c r="I200" i="17"/>
  <c r="I133" i="17"/>
  <c r="H277" i="13"/>
  <c r="F167" i="13"/>
  <c r="H226" i="13" s="1"/>
  <c r="J225" i="17"/>
  <c r="J158" i="17"/>
  <c r="G21" i="14"/>
  <c r="G45" i="14" s="1"/>
  <c r="H75" i="11"/>
  <c r="H21" i="14" s="1"/>
  <c r="H45" i="14" s="1"/>
  <c r="F20" i="13"/>
  <c r="F77" i="13" s="1"/>
  <c r="H242" i="13" s="1"/>
  <c r="G51" i="11"/>
  <c r="E39" i="18"/>
  <c r="F78" i="14"/>
  <c r="F79" i="14"/>
  <c r="H240" i="13"/>
  <c r="F127" i="13"/>
  <c r="H185" i="13" s="1"/>
  <c r="G244" i="13"/>
  <c r="E131" i="13"/>
  <c r="G189" i="13" s="1"/>
  <c r="G114" i="17"/>
  <c r="H237" i="17"/>
  <c r="H170" i="17"/>
  <c r="H25" i="17"/>
  <c r="H78" i="17" s="1"/>
  <c r="H108" i="11"/>
  <c r="I25" i="17" s="1"/>
  <c r="I78" i="17" s="1"/>
  <c r="H45" i="17"/>
  <c r="H98" i="17" s="1"/>
  <c r="H114" i="12"/>
  <c r="I45" i="17" s="1"/>
  <c r="I98" i="17" s="1"/>
  <c r="I241" i="17"/>
  <c r="I177" i="17"/>
  <c r="G14" i="13"/>
  <c r="G71" i="13" s="1"/>
  <c r="I236" i="13" s="1"/>
  <c r="H45" i="11"/>
  <c r="H14" i="13" s="1"/>
  <c r="H71" i="13" s="1"/>
  <c r="J236" i="13" s="1"/>
  <c r="G272" i="13"/>
  <c r="E159" i="13"/>
  <c r="G218" i="13" s="1"/>
  <c r="F28" i="13"/>
  <c r="F85" i="13" s="1"/>
  <c r="G59" i="11"/>
  <c r="J226" i="17"/>
  <c r="J159" i="17"/>
  <c r="G246" i="13"/>
  <c r="E133" i="13"/>
  <c r="G191" i="13" s="1"/>
  <c r="G268" i="13"/>
  <c r="E155" i="13"/>
  <c r="G214" i="13" s="1"/>
  <c r="E32" i="14"/>
  <c r="G156" i="14" s="1"/>
  <c r="F31" i="14"/>
  <c r="F55" i="14" s="1"/>
  <c r="G85" i="11"/>
  <c r="H24" i="17"/>
  <c r="H77" i="17" s="1"/>
  <c r="H107" i="11"/>
  <c r="I24" i="17" s="1"/>
  <c r="I77" i="17" s="1"/>
  <c r="F25" i="18"/>
  <c r="F56" i="18" s="1"/>
  <c r="G86" i="12"/>
  <c r="J227" i="17"/>
  <c r="J160" i="17"/>
  <c r="F27" i="18"/>
  <c r="F58" i="18" s="1"/>
  <c r="G88" i="12"/>
  <c r="H238" i="17"/>
  <c r="H171" i="17"/>
  <c r="G249" i="13"/>
  <c r="E136" i="13"/>
  <c r="G194" i="13" s="1"/>
  <c r="H44" i="17"/>
  <c r="H97" i="17" s="1"/>
  <c r="H113" i="12"/>
  <c r="I44" i="17" s="1"/>
  <c r="I97" i="17" s="1"/>
  <c r="F63" i="14"/>
  <c r="F64" i="14"/>
  <c r="F22" i="18"/>
  <c r="F53" i="18" s="1"/>
  <c r="G83" i="12"/>
  <c r="G251" i="17"/>
  <c r="G188" i="17"/>
  <c r="M62" i="4"/>
  <c r="D93" i="4" s="1"/>
  <c r="M47" i="4"/>
  <c r="I225" i="17"/>
  <c r="I158" i="17"/>
  <c r="G15" i="14"/>
  <c r="G39" i="14" s="1"/>
  <c r="H69" i="11"/>
  <c r="H15" i="14" s="1"/>
  <c r="H39" i="14" s="1"/>
  <c r="E165" i="18"/>
  <c r="E166" i="18"/>
  <c r="E129" i="13"/>
  <c r="G187" i="13" s="1"/>
  <c r="J221" i="17"/>
  <c r="J154" i="17"/>
  <c r="F31" i="13"/>
  <c r="F88" i="13" s="1"/>
  <c r="G62" i="11"/>
  <c r="F29" i="18"/>
  <c r="F60" i="18" s="1"/>
  <c r="G90" i="12"/>
  <c r="H20" i="17"/>
  <c r="H73" i="17" s="1"/>
  <c r="H103" i="11"/>
  <c r="I20" i="17" s="1"/>
  <c r="I73" i="17" s="1"/>
  <c r="F23" i="18"/>
  <c r="F54" i="18" s="1"/>
  <c r="G84" i="12"/>
  <c r="G40" i="13"/>
  <c r="G97" i="13" s="1"/>
  <c r="H51" i="12"/>
  <c r="H40" i="13" s="1"/>
  <c r="H97" i="13" s="1"/>
  <c r="G116" i="17"/>
  <c r="F28" i="14"/>
  <c r="F52" i="14" s="1"/>
  <c r="G82" i="11"/>
  <c r="H213" i="17"/>
  <c r="H146" i="17"/>
  <c r="G16" i="14"/>
  <c r="G40" i="14" s="1"/>
  <c r="I155" i="14" s="1"/>
  <c r="H70" i="11"/>
  <c r="H16" i="14" s="1"/>
  <c r="H40" i="14" s="1"/>
  <c r="J155" i="14" s="1"/>
  <c r="H233" i="17"/>
  <c r="H166" i="17"/>
  <c r="H46" i="17"/>
  <c r="H99" i="17" s="1"/>
  <c r="H115" i="12"/>
  <c r="I46" i="17" s="1"/>
  <c r="I99" i="17" s="1"/>
  <c r="J201" i="17"/>
  <c r="J134" i="17"/>
  <c r="G57" i="13"/>
  <c r="G114" i="13" s="1"/>
  <c r="H68" i="12"/>
  <c r="H57" i="13" s="1"/>
  <c r="H114" i="13" s="1"/>
  <c r="F123" i="13"/>
  <c r="H181" i="13" s="1"/>
  <c r="H43" i="17"/>
  <c r="H96" i="17" s="1"/>
  <c r="H112" i="12"/>
  <c r="I43" i="17" s="1"/>
  <c r="I96" i="17" s="1"/>
  <c r="G250" i="13"/>
  <c r="E137" i="13"/>
  <c r="G195" i="13" s="1"/>
  <c r="I226" i="17"/>
  <c r="I159" i="17"/>
  <c r="H22" i="17"/>
  <c r="H75" i="17" s="1"/>
  <c r="H105" i="11"/>
  <c r="I22" i="17" s="1"/>
  <c r="I75" i="17" s="1"/>
  <c r="G250" i="17"/>
  <c r="G187" i="17"/>
  <c r="E120" i="13"/>
  <c r="H145" i="17"/>
  <c r="H212" i="17"/>
  <c r="I227" i="17"/>
  <c r="I160" i="17"/>
  <c r="J239" i="17"/>
  <c r="J175" i="17"/>
  <c r="J242" i="17"/>
  <c r="J178" i="17"/>
  <c r="G11" i="13"/>
  <c r="H42" i="11"/>
  <c r="H11" i="13" s="1"/>
  <c r="G37" i="18"/>
  <c r="G65" i="18" s="1"/>
  <c r="H98" i="12"/>
  <c r="H37" i="18" s="1"/>
  <c r="H65" i="18" s="1"/>
  <c r="E61" i="13"/>
  <c r="J259" i="13"/>
  <c r="H146" i="13"/>
  <c r="H232" i="17"/>
  <c r="H165" i="17"/>
  <c r="F29" i="14"/>
  <c r="F53" i="14" s="1"/>
  <c r="G83" i="11"/>
  <c r="G59" i="13"/>
  <c r="G116" i="13" s="1"/>
  <c r="H70" i="12"/>
  <c r="H59" i="13" s="1"/>
  <c r="H116" i="13" s="1"/>
  <c r="G15" i="13"/>
  <c r="G72" i="13" s="1"/>
  <c r="H46" i="11"/>
  <c r="H15" i="13" s="1"/>
  <c r="H72" i="13" s="1"/>
  <c r="I221" i="17"/>
  <c r="I154" i="17"/>
  <c r="G253" i="13"/>
  <c r="E140" i="13"/>
  <c r="G198" i="13" s="1"/>
  <c r="H141" i="17"/>
  <c r="H208" i="17"/>
  <c r="F178" i="13"/>
  <c r="F229" i="13" s="1"/>
  <c r="H262" i="13"/>
  <c r="F149" i="13"/>
  <c r="H208" i="13" s="1"/>
  <c r="J229" i="17"/>
  <c r="J162" i="17"/>
  <c r="G115" i="17"/>
  <c r="F24" i="14"/>
  <c r="F48" i="14" s="1"/>
  <c r="G78" i="11"/>
  <c r="J222" i="17"/>
  <c r="J155" i="17"/>
  <c r="F70" i="14"/>
  <c r="H142" i="14" s="1"/>
  <c r="F71" i="14"/>
  <c r="F31" i="18"/>
  <c r="G92" i="12"/>
  <c r="G31" i="18" s="1"/>
  <c r="J202" i="17"/>
  <c r="J135" i="17"/>
  <c r="H234" i="17"/>
  <c r="H167" i="17"/>
  <c r="I201" i="17"/>
  <c r="I134" i="17"/>
  <c r="H276" i="13"/>
  <c r="F166" i="13"/>
  <c r="H225" i="13" s="1"/>
  <c r="E146" i="14"/>
  <c r="E148" i="14" s="1"/>
  <c r="H231" i="17"/>
  <c r="H164" i="17"/>
  <c r="H210" i="17"/>
  <c r="H143" i="17"/>
  <c r="G36" i="13"/>
  <c r="G93" i="13" s="1"/>
  <c r="H47" i="12"/>
  <c r="H36" i="13" s="1"/>
  <c r="H93" i="13" s="1"/>
  <c r="J198" i="17"/>
  <c r="J131" i="17"/>
  <c r="G154" i="18"/>
  <c r="G159" i="18" s="1"/>
  <c r="G169" i="18"/>
  <c r="G168" i="18"/>
  <c r="G19" i="18"/>
  <c r="G50" i="18" s="1"/>
  <c r="H80" i="12"/>
  <c r="H19" i="18" s="1"/>
  <c r="H50" i="18" s="1"/>
  <c r="I239" i="17"/>
  <c r="I175" i="17"/>
  <c r="F45" i="13"/>
  <c r="F102" i="13" s="1"/>
  <c r="G56" i="12"/>
  <c r="G13" i="14"/>
  <c r="H67" i="11"/>
  <c r="H13" i="14" s="1"/>
  <c r="G247" i="17"/>
  <c r="G184" i="17"/>
  <c r="I242" i="17"/>
  <c r="I178" i="17"/>
  <c r="F68" i="13"/>
  <c r="H233" i="13" s="1"/>
  <c r="G257" i="13"/>
  <c r="E144" i="13"/>
  <c r="G203" i="13" s="1"/>
  <c r="I259" i="13"/>
  <c r="G146" i="13"/>
  <c r="I205" i="13" s="1"/>
  <c r="O42" i="4"/>
  <c r="P39" i="4" s="1"/>
  <c r="G140" i="14"/>
  <c r="G285" i="13" l="1"/>
  <c r="G284" i="13"/>
  <c r="F33" i="13"/>
  <c r="G160" i="14"/>
  <c r="G161" i="14"/>
  <c r="F282" i="13"/>
  <c r="F283" i="13"/>
  <c r="F157" i="14"/>
  <c r="F158" i="14"/>
  <c r="H42" i="4"/>
  <c r="F63" i="4"/>
  <c r="F107" i="10"/>
  <c r="G11" i="10"/>
  <c r="G93" i="10"/>
  <c r="F57" i="10"/>
  <c r="E92" i="4"/>
  <c r="G33" i="4"/>
  <c r="G62" i="4"/>
  <c r="F32" i="7" s="1"/>
  <c r="G42" i="10" s="1"/>
  <c r="F61" i="13"/>
  <c r="J174" i="17"/>
  <c r="G34" i="6"/>
  <c r="E174" i="18"/>
  <c r="D175" i="18"/>
  <c r="D177" i="18" s="1"/>
  <c r="N36" i="4"/>
  <c r="O33" i="4" s="1"/>
  <c r="O34" i="4" s="1"/>
  <c r="O36" i="4" s="1"/>
  <c r="P33" i="4" s="1"/>
  <c r="P34" i="4" s="1"/>
  <c r="P36" i="4" s="1"/>
  <c r="Q33" i="4" s="1"/>
  <c r="Q34" i="4" s="1"/>
  <c r="Q36" i="4" s="1"/>
  <c r="O59" i="4"/>
  <c r="O60" i="4"/>
  <c r="P57" i="4" s="1"/>
  <c r="P58" i="4" s="1"/>
  <c r="H250" i="17"/>
  <c r="E274" i="17"/>
  <c r="E276" i="17" s="1"/>
  <c r="E19" i="6"/>
  <c r="E39" i="6" s="1"/>
  <c r="B10" i="8" s="1"/>
  <c r="D290" i="13"/>
  <c r="D292" i="13" s="1"/>
  <c r="D302" i="13" s="1"/>
  <c r="D305" i="13" s="1"/>
  <c r="H6" i="6"/>
  <c r="G259" i="17" s="1"/>
  <c r="E38" i="6"/>
  <c r="B9" i="8" s="1"/>
  <c r="G32" i="6"/>
  <c r="I119" i="17"/>
  <c r="J251" i="17" s="1"/>
  <c r="H253" i="17"/>
  <c r="G191" i="17"/>
  <c r="I114" i="17"/>
  <c r="J245" i="17" s="1"/>
  <c r="F262" i="17"/>
  <c r="F274" i="17" s="1"/>
  <c r="F276" i="17" s="1"/>
  <c r="F8" i="6"/>
  <c r="E166" i="14" s="1"/>
  <c r="C9" i="7"/>
  <c r="F35" i="6"/>
  <c r="G28" i="14"/>
  <c r="G52" i="14" s="1"/>
  <c r="H82" i="11"/>
  <c r="H28" i="14" s="1"/>
  <c r="H52" i="14" s="1"/>
  <c r="J233" i="17"/>
  <c r="J166" i="17"/>
  <c r="I237" i="17"/>
  <c r="I170" i="17"/>
  <c r="I140" i="17"/>
  <c r="I207" i="17"/>
  <c r="G37" i="14"/>
  <c r="I234" i="17"/>
  <c r="I167" i="17"/>
  <c r="F15" i="6"/>
  <c r="H271" i="13"/>
  <c r="F158" i="13"/>
  <c r="H217" i="13" s="1"/>
  <c r="G29" i="14"/>
  <c r="G53" i="14" s="1"/>
  <c r="H83" i="11"/>
  <c r="H29" i="14" s="1"/>
  <c r="H53" i="14" s="1"/>
  <c r="I143" i="17"/>
  <c r="I210" i="17"/>
  <c r="H247" i="17"/>
  <c r="H184" i="17"/>
  <c r="E35" i="14"/>
  <c r="G159" i="14" s="1"/>
  <c r="E12" i="14"/>
  <c r="H254" i="17"/>
  <c r="J213" i="17"/>
  <c r="J146" i="17"/>
  <c r="G24" i="18"/>
  <c r="G55" i="18" s="1"/>
  <c r="H85" i="12"/>
  <c r="H24" i="18" s="1"/>
  <c r="H55" i="18" s="1"/>
  <c r="G46" i="13"/>
  <c r="G103" i="13" s="1"/>
  <c r="H57" i="12"/>
  <c r="H46" i="13" s="1"/>
  <c r="H103" i="13" s="1"/>
  <c r="H244" i="13"/>
  <c r="F131" i="13"/>
  <c r="H189" i="13" s="1"/>
  <c r="J240" i="13"/>
  <c r="H127" i="13"/>
  <c r="J277" i="13"/>
  <c r="H167" i="13"/>
  <c r="I215" i="17"/>
  <c r="I148" i="17"/>
  <c r="F96" i="14"/>
  <c r="F95" i="14"/>
  <c r="H139" i="14" s="1"/>
  <c r="J230" i="17"/>
  <c r="J163" i="17"/>
  <c r="G52" i="13"/>
  <c r="G109" i="13" s="1"/>
  <c r="H63" i="12"/>
  <c r="H52" i="13" s="1"/>
  <c r="H109" i="13" s="1"/>
  <c r="I142" i="17"/>
  <c r="I209" i="17"/>
  <c r="I115" i="17"/>
  <c r="H45" i="18"/>
  <c r="G25" i="14"/>
  <c r="G49" i="14" s="1"/>
  <c r="H79" i="11"/>
  <c r="H25" i="14" s="1"/>
  <c r="H49" i="14" s="1"/>
  <c r="G26" i="18"/>
  <c r="G57" i="18" s="1"/>
  <c r="H87" i="12"/>
  <c r="H26" i="18" s="1"/>
  <c r="H57" i="18" s="1"/>
  <c r="I216" i="17"/>
  <c r="I149" i="17"/>
  <c r="C146" i="10"/>
  <c r="C32" i="10"/>
  <c r="C134" i="10"/>
  <c r="C158" i="10"/>
  <c r="C122" i="10"/>
  <c r="B12" i="7"/>
  <c r="G25" i="13"/>
  <c r="G82" i="13" s="1"/>
  <c r="H56" i="11"/>
  <c r="H25" i="13" s="1"/>
  <c r="H82" i="13" s="1"/>
  <c r="O52" i="4"/>
  <c r="O53" i="4" s="1"/>
  <c r="F130" i="13"/>
  <c r="H188" i="13" s="1"/>
  <c r="J234" i="17"/>
  <c r="J167" i="17"/>
  <c r="G123" i="13"/>
  <c r="I181" i="13" s="1"/>
  <c r="I261" i="13"/>
  <c r="G148" i="13"/>
  <c r="I207" i="13" s="1"/>
  <c r="G26" i="14"/>
  <c r="G50" i="14" s="1"/>
  <c r="H80" i="11"/>
  <c r="H26" i="14" s="1"/>
  <c r="H50" i="14" s="1"/>
  <c r="G29" i="18"/>
  <c r="G60" i="18" s="1"/>
  <c r="H90" i="12"/>
  <c r="H29" i="18" s="1"/>
  <c r="H60" i="18" s="1"/>
  <c r="I238" i="17"/>
  <c r="I171" i="17"/>
  <c r="J215" i="17"/>
  <c r="J148" i="17"/>
  <c r="H245" i="13"/>
  <c r="F132" i="13"/>
  <c r="H190" i="13" s="1"/>
  <c r="I217" i="17"/>
  <c r="I150" i="17"/>
  <c r="G21" i="13"/>
  <c r="G78" i="13" s="1"/>
  <c r="I243" i="13" s="1"/>
  <c r="H52" i="11"/>
  <c r="H21" i="13" s="1"/>
  <c r="H78" i="13" s="1"/>
  <c r="J243" i="13" s="1"/>
  <c r="G144" i="14"/>
  <c r="H267" i="13"/>
  <c r="F154" i="13"/>
  <c r="H213" i="13" s="1"/>
  <c r="H68" i="13"/>
  <c r="J233" i="13" s="1"/>
  <c r="J262" i="13"/>
  <c r="H149" i="13"/>
  <c r="G31" i="13"/>
  <c r="G88" i="13" s="1"/>
  <c r="H62" i="11"/>
  <c r="H31" i="13" s="1"/>
  <c r="H88" i="13" s="1"/>
  <c r="G22" i="18"/>
  <c r="G53" i="18" s="1"/>
  <c r="H83" i="12"/>
  <c r="H22" i="18" s="1"/>
  <c r="H53" i="18" s="1"/>
  <c r="G25" i="18"/>
  <c r="G56" i="18" s="1"/>
  <c r="H86" i="12"/>
  <c r="H25" i="18" s="1"/>
  <c r="H56" i="18" s="1"/>
  <c r="G28" i="13"/>
  <c r="G85" i="13" s="1"/>
  <c r="H59" i="11"/>
  <c r="H28" i="13" s="1"/>
  <c r="H85" i="13" s="1"/>
  <c r="I213" i="17"/>
  <c r="I146" i="17"/>
  <c r="H268" i="13"/>
  <c r="F155" i="13"/>
  <c r="H214" i="13" s="1"/>
  <c r="I240" i="13"/>
  <c r="G127" i="13"/>
  <c r="I185" i="13" s="1"/>
  <c r="I277" i="13"/>
  <c r="G167" i="13"/>
  <c r="I226" i="13" s="1"/>
  <c r="J265" i="13"/>
  <c r="H152" i="13"/>
  <c r="H114" i="17"/>
  <c r="F39" i="18"/>
  <c r="I230" i="17"/>
  <c r="I163" i="17"/>
  <c r="H274" i="13"/>
  <c r="F161" i="13"/>
  <c r="H220" i="13" s="1"/>
  <c r="G22" i="14"/>
  <c r="G46" i="14" s="1"/>
  <c r="H76" i="11"/>
  <c r="H22" i="14" s="1"/>
  <c r="H46" i="14" s="1"/>
  <c r="G45" i="18"/>
  <c r="H247" i="13"/>
  <c r="F134" i="13"/>
  <c r="H192" i="13" s="1"/>
  <c r="J211" i="17"/>
  <c r="J144" i="17"/>
  <c r="H121" i="13"/>
  <c r="H125" i="13"/>
  <c r="I258" i="13"/>
  <c r="G145" i="13"/>
  <c r="I204" i="13" s="1"/>
  <c r="I278" i="13"/>
  <c r="G168" i="13"/>
  <c r="I227" i="13" s="1"/>
  <c r="J238" i="17"/>
  <c r="J171" i="17"/>
  <c r="I241" i="13"/>
  <c r="G128" i="13"/>
  <c r="I186" i="13" s="1"/>
  <c r="G51" i="13"/>
  <c r="G108" i="13" s="1"/>
  <c r="H62" i="12"/>
  <c r="H51" i="13" s="1"/>
  <c r="H108" i="13" s="1"/>
  <c r="J210" i="17"/>
  <c r="J143" i="17"/>
  <c r="G22" i="13"/>
  <c r="G79" i="13" s="1"/>
  <c r="H53" i="11"/>
  <c r="H22" i="13" s="1"/>
  <c r="H79" i="13" s="1"/>
  <c r="H257" i="13"/>
  <c r="F144" i="13"/>
  <c r="H203" i="13" s="1"/>
  <c r="G23" i="14"/>
  <c r="G47" i="14" s="1"/>
  <c r="I152" i="14" s="1"/>
  <c r="H77" i="11"/>
  <c r="H23" i="14" s="1"/>
  <c r="H47" i="14" s="1"/>
  <c r="J152" i="14" s="1"/>
  <c r="H251" i="13"/>
  <c r="F138" i="13"/>
  <c r="H196" i="13" s="1"/>
  <c r="G68" i="13"/>
  <c r="I233" i="13" s="1"/>
  <c r="J276" i="13"/>
  <c r="H166" i="13"/>
  <c r="H70" i="14"/>
  <c r="H71" i="14"/>
  <c r="I262" i="13"/>
  <c r="G149" i="13"/>
  <c r="I208" i="13" s="1"/>
  <c r="H253" i="13"/>
  <c r="F140" i="13"/>
  <c r="H198" i="13" s="1"/>
  <c r="G27" i="18"/>
  <c r="G58" i="18" s="1"/>
  <c r="H88" i="12"/>
  <c r="H27" i="18" s="1"/>
  <c r="H58" i="18" s="1"/>
  <c r="H250" i="13"/>
  <c r="F137" i="13"/>
  <c r="H195" i="13" s="1"/>
  <c r="G24" i="13"/>
  <c r="G81" i="13" s="1"/>
  <c r="H55" i="11"/>
  <c r="H24" i="13" s="1"/>
  <c r="H81" i="13" s="1"/>
  <c r="H78" i="14"/>
  <c r="H79" i="14"/>
  <c r="J235" i="13"/>
  <c r="H122" i="13"/>
  <c r="I265" i="13"/>
  <c r="G152" i="13"/>
  <c r="I211" i="13" s="1"/>
  <c r="H115" i="17"/>
  <c r="H124" i="18"/>
  <c r="H141" i="18" s="1"/>
  <c r="J167" i="18"/>
  <c r="H126" i="18"/>
  <c r="H143" i="18" s="1"/>
  <c r="J164" i="18"/>
  <c r="H125" i="18"/>
  <c r="H142" i="18" s="1"/>
  <c r="J163" i="18"/>
  <c r="J173" i="17"/>
  <c r="G27" i="14"/>
  <c r="G51" i="14" s="1"/>
  <c r="H81" i="11"/>
  <c r="H27" i="14" s="1"/>
  <c r="H51" i="14" s="1"/>
  <c r="I144" i="17"/>
  <c r="I211" i="17"/>
  <c r="G121" i="13"/>
  <c r="I179" i="13" s="1"/>
  <c r="G125" i="13"/>
  <c r="I183" i="13" s="1"/>
  <c r="G31" i="14"/>
  <c r="G55" i="14" s="1"/>
  <c r="H85" i="11"/>
  <c r="H31" i="14" s="1"/>
  <c r="H55" i="14" s="1"/>
  <c r="I139" i="17"/>
  <c r="I206" i="17"/>
  <c r="E289" i="13"/>
  <c r="I233" i="17"/>
  <c r="I166" i="17"/>
  <c r="H119" i="17"/>
  <c r="H273" i="13"/>
  <c r="F160" i="13"/>
  <c r="H219" i="13" s="1"/>
  <c r="I118" i="17"/>
  <c r="G45" i="13"/>
  <c r="G102" i="13" s="1"/>
  <c r="H56" i="12"/>
  <c r="H45" i="13" s="1"/>
  <c r="H102" i="13" s="1"/>
  <c r="F120" i="13"/>
  <c r="P40" i="4"/>
  <c r="P41" i="4" s="1"/>
  <c r="G24" i="14"/>
  <c r="G48" i="14" s="1"/>
  <c r="H78" i="11"/>
  <c r="H24" i="14" s="1"/>
  <c r="H48" i="14" s="1"/>
  <c r="J237" i="13"/>
  <c r="H124" i="13"/>
  <c r="G178" i="13"/>
  <c r="I276" i="13"/>
  <c r="G166" i="13"/>
  <c r="I225" i="13" s="1"/>
  <c r="G71" i="14"/>
  <c r="G70" i="14"/>
  <c r="I142" i="14" s="1"/>
  <c r="G23" i="18"/>
  <c r="G54" i="18" s="1"/>
  <c r="H84" i="12"/>
  <c r="H23" i="18" s="1"/>
  <c r="H54" i="18" s="1"/>
  <c r="J212" i="17"/>
  <c r="J145" i="17"/>
  <c r="H141" i="14"/>
  <c r="H246" i="13"/>
  <c r="F133" i="13"/>
  <c r="H191" i="13" s="1"/>
  <c r="G28" i="18"/>
  <c r="G59" i="18" s="1"/>
  <c r="H89" i="12"/>
  <c r="H28" i="18" s="1"/>
  <c r="H59" i="18" s="1"/>
  <c r="G79" i="14"/>
  <c r="G78" i="14"/>
  <c r="I235" i="13"/>
  <c r="G122" i="13"/>
  <c r="I180" i="13" s="1"/>
  <c r="J275" i="13"/>
  <c r="H165" i="13"/>
  <c r="H118" i="17"/>
  <c r="G44" i="13"/>
  <c r="G101" i="13" s="1"/>
  <c r="H55" i="12"/>
  <c r="H44" i="13" s="1"/>
  <c r="H101" i="13" s="1"/>
  <c r="I164" i="18"/>
  <c r="I167" i="18"/>
  <c r="G125" i="18"/>
  <c r="G142" i="18" s="1"/>
  <c r="I155" i="18" s="1"/>
  <c r="I163" i="18"/>
  <c r="G124" i="18"/>
  <c r="G141" i="18" s="1"/>
  <c r="G126" i="18"/>
  <c r="G143" i="18" s="1"/>
  <c r="I156" i="18" s="1"/>
  <c r="H251" i="17"/>
  <c r="H188" i="17"/>
  <c r="C147" i="10"/>
  <c r="C33" i="10"/>
  <c r="C135" i="10"/>
  <c r="C159" i="10"/>
  <c r="C123" i="10"/>
  <c r="J236" i="17"/>
  <c r="J169" i="17"/>
  <c r="J263" i="13"/>
  <c r="H150" i="13"/>
  <c r="G47" i="13"/>
  <c r="G104" i="13" s="1"/>
  <c r="H58" i="12"/>
  <c r="H47" i="13" s="1"/>
  <c r="H104" i="13" s="1"/>
  <c r="F165" i="18"/>
  <c r="F166" i="18"/>
  <c r="J264" i="13"/>
  <c r="H151" i="13"/>
  <c r="H37" i="14"/>
  <c r="J231" i="17"/>
  <c r="J164" i="17"/>
  <c r="I231" i="17"/>
  <c r="I164" i="17"/>
  <c r="F129" i="13"/>
  <c r="H187" i="13" s="1"/>
  <c r="I237" i="13"/>
  <c r="G124" i="13"/>
  <c r="I182" i="13" s="1"/>
  <c r="J205" i="13"/>
  <c r="H140" i="14"/>
  <c r="J232" i="17"/>
  <c r="J165" i="17"/>
  <c r="I145" i="17"/>
  <c r="I212" i="17"/>
  <c r="H245" i="17"/>
  <c r="H182" i="17"/>
  <c r="G27" i="13"/>
  <c r="G84" i="13" s="1"/>
  <c r="H58" i="11"/>
  <c r="H27" i="13" s="1"/>
  <c r="H84" i="13" s="1"/>
  <c r="G50" i="13"/>
  <c r="G107" i="13" s="1"/>
  <c r="H61" i="12"/>
  <c r="H50" i="13" s="1"/>
  <c r="H107" i="13" s="1"/>
  <c r="F146" i="14"/>
  <c r="F148" i="14" s="1"/>
  <c r="I275" i="13"/>
  <c r="G165" i="13"/>
  <c r="I224" i="13" s="1"/>
  <c r="H116" i="17"/>
  <c r="F13" i="8"/>
  <c r="G48" i="4"/>
  <c r="H47" i="4" s="1"/>
  <c r="H266" i="13"/>
  <c r="F153" i="13"/>
  <c r="H212" i="13" s="1"/>
  <c r="H63" i="14"/>
  <c r="H64" i="14"/>
  <c r="G48" i="13"/>
  <c r="G105" i="13" s="1"/>
  <c r="H59" i="12"/>
  <c r="H48" i="13" s="1"/>
  <c r="H105" i="13" s="1"/>
  <c r="C8" i="7"/>
  <c r="F34" i="6"/>
  <c r="J239" i="13"/>
  <c r="H126" i="13"/>
  <c r="G30" i="18"/>
  <c r="G61" i="18" s="1"/>
  <c r="H91" i="12"/>
  <c r="H30" i="18" s="1"/>
  <c r="H61" i="18" s="1"/>
  <c r="I236" i="17"/>
  <c r="I169" i="17"/>
  <c r="I263" i="13"/>
  <c r="G150" i="13"/>
  <c r="I209" i="13" s="1"/>
  <c r="H269" i="13"/>
  <c r="F156" i="13"/>
  <c r="H215" i="13" s="1"/>
  <c r="H14" i="6"/>
  <c r="I264" i="13"/>
  <c r="G151" i="13"/>
  <c r="I210" i="13" s="1"/>
  <c r="D178" i="14"/>
  <c r="D180" i="14" s="1"/>
  <c r="B16" i="7"/>
  <c r="I16" i="7" s="1"/>
  <c r="E47" i="6"/>
  <c r="I141" i="17"/>
  <c r="I208" i="17"/>
  <c r="G20" i="13"/>
  <c r="G77" i="13" s="1"/>
  <c r="I242" i="13" s="1"/>
  <c r="H51" i="11"/>
  <c r="H20" i="13" s="1"/>
  <c r="H77" i="13" s="1"/>
  <c r="J242" i="13" s="1"/>
  <c r="G92" i="13"/>
  <c r="J209" i="17"/>
  <c r="J142" i="17"/>
  <c r="J216" i="17"/>
  <c r="J149" i="17"/>
  <c r="G30" i="14"/>
  <c r="G54" i="14" s="1"/>
  <c r="H84" i="11"/>
  <c r="H30" i="14" s="1"/>
  <c r="H54" i="14" s="1"/>
  <c r="J258" i="13"/>
  <c r="H145" i="13"/>
  <c r="H246" i="17"/>
  <c r="H183" i="17"/>
  <c r="J278" i="13"/>
  <c r="H168" i="13"/>
  <c r="J208" i="17"/>
  <c r="J141" i="17"/>
  <c r="M63" i="4"/>
  <c r="M64" i="4" s="1"/>
  <c r="I232" i="17"/>
  <c r="I165" i="17"/>
  <c r="E65" i="13"/>
  <c r="G200" i="13" s="1"/>
  <c r="E10" i="13"/>
  <c r="H123" i="13"/>
  <c r="E42" i="18"/>
  <c r="E12" i="18"/>
  <c r="H249" i="13"/>
  <c r="F136" i="13"/>
  <c r="H194" i="13" s="1"/>
  <c r="H272" i="13"/>
  <c r="F159" i="13"/>
  <c r="H218" i="13" s="1"/>
  <c r="J237" i="17"/>
  <c r="J170" i="17"/>
  <c r="J261" i="13"/>
  <c r="H148" i="13"/>
  <c r="H154" i="18"/>
  <c r="H159" i="18" s="1"/>
  <c r="H168" i="18"/>
  <c r="H169" i="18"/>
  <c r="J206" i="17"/>
  <c r="J139" i="17"/>
  <c r="J241" i="13"/>
  <c r="H128" i="13"/>
  <c r="J207" i="17"/>
  <c r="J140" i="17"/>
  <c r="H92" i="13"/>
  <c r="G64" i="14"/>
  <c r="G63" i="14"/>
  <c r="H270" i="13"/>
  <c r="F157" i="13"/>
  <c r="H216" i="13" s="1"/>
  <c r="I116" i="17"/>
  <c r="I239" i="13"/>
  <c r="G126" i="13"/>
  <c r="I184" i="13" s="1"/>
  <c r="G26" i="13"/>
  <c r="G83" i="13" s="1"/>
  <c r="H57" i="11"/>
  <c r="H26" i="13" s="1"/>
  <c r="H83" i="13" s="1"/>
  <c r="J235" i="17"/>
  <c r="J168" i="17"/>
  <c r="F32" i="14"/>
  <c r="H156" i="14" s="1"/>
  <c r="J252" i="13"/>
  <c r="H139" i="13"/>
  <c r="J260" i="13"/>
  <c r="H147" i="13"/>
  <c r="G49" i="13"/>
  <c r="G106" i="13" s="1"/>
  <c r="H60" i="12"/>
  <c r="H49" i="13" s="1"/>
  <c r="H106" i="13" s="1"/>
  <c r="G23" i="13"/>
  <c r="G80" i="13" s="1"/>
  <c r="H54" i="11"/>
  <c r="H23" i="13" s="1"/>
  <c r="H80" i="13" s="1"/>
  <c r="J172" i="17"/>
  <c r="G29" i="13"/>
  <c r="G86" i="13" s="1"/>
  <c r="H60" i="11"/>
  <c r="H29" i="13" s="1"/>
  <c r="H86" i="13" s="1"/>
  <c r="J217" i="17"/>
  <c r="J150" i="17"/>
  <c r="H248" i="13"/>
  <c r="F135" i="13"/>
  <c r="H193" i="13" s="1"/>
  <c r="I235" i="17"/>
  <c r="I168" i="17"/>
  <c r="F16" i="6"/>
  <c r="I252" i="13"/>
  <c r="G139" i="13"/>
  <c r="I197" i="13" s="1"/>
  <c r="I260" i="13"/>
  <c r="G147" i="13"/>
  <c r="I206" i="13" s="1"/>
  <c r="N46" i="4"/>
  <c r="N62" i="4" s="1"/>
  <c r="E93" i="4" s="1"/>
  <c r="G229" i="13" l="1"/>
  <c r="G33" i="13"/>
  <c r="H284" i="13"/>
  <c r="H285" i="13"/>
  <c r="H33" i="13"/>
  <c r="J207" i="13"/>
  <c r="G282" i="13"/>
  <c r="G283" i="13"/>
  <c r="H160" i="14"/>
  <c r="H161" i="14"/>
  <c r="G157" i="14"/>
  <c r="G158" i="14"/>
  <c r="J227" i="13"/>
  <c r="I39" i="4"/>
  <c r="I42" i="4" s="1"/>
  <c r="I41" i="4"/>
  <c r="F92" i="4"/>
  <c r="G57" i="10"/>
  <c r="G107" i="10"/>
  <c r="H93" i="10"/>
  <c r="H11" i="10"/>
  <c r="E14" i="8"/>
  <c r="E15" i="8" s="1"/>
  <c r="F64" i="4"/>
  <c r="G35" i="4"/>
  <c r="G36" i="4"/>
  <c r="I24" i="7"/>
  <c r="P17" i="7" s="1"/>
  <c r="J20" i="7"/>
  <c r="J204" i="13"/>
  <c r="J206" i="13"/>
  <c r="J181" i="13"/>
  <c r="C29" i="9"/>
  <c r="D8" i="7"/>
  <c r="F174" i="18"/>
  <c r="E175" i="18"/>
  <c r="O35" i="4"/>
  <c r="P35" i="4" s="1"/>
  <c r="Q35" i="4" s="1"/>
  <c r="P59" i="4"/>
  <c r="D186" i="18"/>
  <c r="D188" i="18" s="1"/>
  <c r="B15" i="7"/>
  <c r="I15" i="7" s="1"/>
  <c r="J19" i="7" s="1"/>
  <c r="F38" i="6"/>
  <c r="C9" i="8" s="1"/>
  <c r="E46" i="6"/>
  <c r="E50" i="6" s="1"/>
  <c r="B25" i="8" s="1"/>
  <c r="C12" i="9" s="1"/>
  <c r="J188" i="17"/>
  <c r="E41" i="6"/>
  <c r="F11" i="6"/>
  <c r="G44" i="6"/>
  <c r="H32" i="6"/>
  <c r="H191" i="17"/>
  <c r="I32" i="6" s="1"/>
  <c r="J253" i="17"/>
  <c r="J186" i="13"/>
  <c r="H144" i="14"/>
  <c r="I14" i="6"/>
  <c r="H260" i="17" s="1"/>
  <c r="H61" i="13"/>
  <c r="G61" i="13"/>
  <c r="H45" i="4"/>
  <c r="I272" i="13"/>
  <c r="G159" i="13"/>
  <c r="I218" i="13" s="1"/>
  <c r="J269" i="13"/>
  <c r="H156" i="13"/>
  <c r="I154" i="18"/>
  <c r="I159" i="18" s="1"/>
  <c r="I169" i="18"/>
  <c r="I168" i="18"/>
  <c r="J224" i="13"/>
  <c r="G16" i="6"/>
  <c r="J155" i="18"/>
  <c r="I246" i="13"/>
  <c r="G133" i="13"/>
  <c r="I191" i="13" s="1"/>
  <c r="I244" i="13"/>
  <c r="G131" i="13"/>
  <c r="I189" i="13" s="1"/>
  <c r="J179" i="13"/>
  <c r="I245" i="17"/>
  <c r="I182" i="17"/>
  <c r="C126" i="10"/>
  <c r="P60" i="4"/>
  <c r="Q57" i="4" s="1"/>
  <c r="N48" i="4"/>
  <c r="J245" i="13"/>
  <c r="H132" i="13"/>
  <c r="J257" i="13"/>
  <c r="H144" i="13"/>
  <c r="I257" i="13"/>
  <c r="G144" i="13"/>
  <c r="I203" i="13" s="1"/>
  <c r="J270" i="13"/>
  <c r="H157" i="13"/>
  <c r="J249" i="13"/>
  <c r="H136" i="13"/>
  <c r="I269" i="13"/>
  <c r="G156" i="13"/>
  <c r="I215" i="13" s="1"/>
  <c r="P42" i="4"/>
  <c r="Q39" i="4" s="1"/>
  <c r="I251" i="17"/>
  <c r="I188" i="17"/>
  <c r="J211" i="13"/>
  <c r="J253" i="13"/>
  <c r="H140" i="13"/>
  <c r="C162" i="10"/>
  <c r="J185" i="13"/>
  <c r="J247" i="17"/>
  <c r="J184" i="17"/>
  <c r="H129" i="13"/>
  <c r="I270" i="13"/>
  <c r="G157" i="13"/>
  <c r="I216" i="13" s="1"/>
  <c r="I247" i="17"/>
  <c r="I184" i="17"/>
  <c r="I249" i="13"/>
  <c r="G136" i="13"/>
  <c r="I194" i="13" s="1"/>
  <c r="I253" i="17"/>
  <c r="H178" i="13"/>
  <c r="J156" i="18"/>
  <c r="J180" i="13"/>
  <c r="J142" i="14"/>
  <c r="I253" i="13"/>
  <c r="G140" i="13"/>
  <c r="I198" i="13" s="1"/>
  <c r="H130" i="13"/>
  <c r="C138" i="10"/>
  <c r="E290" i="13"/>
  <c r="E292" i="13" s="1"/>
  <c r="G7" i="6"/>
  <c r="F19" i="6"/>
  <c r="F39" i="6" s="1"/>
  <c r="C10" i="8" s="1"/>
  <c r="I245" i="13"/>
  <c r="G132" i="13"/>
  <c r="I190" i="13" s="1"/>
  <c r="J271" i="13"/>
  <c r="H158" i="13"/>
  <c r="J248" i="13"/>
  <c r="H135" i="13"/>
  <c r="G129" i="13"/>
  <c r="I187" i="13" s="1"/>
  <c r="G260" i="17"/>
  <c r="G262" i="17" s="1"/>
  <c r="I6" i="6"/>
  <c r="H32" i="14"/>
  <c r="J156" i="14" s="1"/>
  <c r="J209" i="13"/>
  <c r="H95" i="14"/>
  <c r="J161" i="14" s="1"/>
  <c r="H96" i="14"/>
  <c r="J250" i="13"/>
  <c r="H137" i="13"/>
  <c r="J208" i="13"/>
  <c r="G130" i="13"/>
  <c r="I188" i="13" s="1"/>
  <c r="O54" i="4"/>
  <c r="P51" i="4" s="1"/>
  <c r="C36" i="10"/>
  <c r="H39" i="18"/>
  <c r="I271" i="13"/>
  <c r="G158" i="13"/>
  <c r="I217" i="13" s="1"/>
  <c r="J197" i="13"/>
  <c r="I248" i="13"/>
  <c r="G135" i="13"/>
  <c r="I193" i="13" s="1"/>
  <c r="G165" i="18"/>
  <c r="G166" i="18"/>
  <c r="N47" i="4"/>
  <c r="J184" i="13"/>
  <c r="J210" i="13"/>
  <c r="I141" i="14"/>
  <c r="J182" i="13"/>
  <c r="J267" i="13"/>
  <c r="H154" i="13"/>
  <c r="J154" i="18"/>
  <c r="J159" i="18" s="1"/>
  <c r="J168" i="18"/>
  <c r="J169" i="18"/>
  <c r="J225" i="13"/>
  <c r="G95" i="14"/>
  <c r="I139" i="14" s="1"/>
  <c r="G96" i="14"/>
  <c r="J273" i="13"/>
  <c r="H160" i="13"/>
  <c r="I250" i="13"/>
  <c r="G137" i="13"/>
  <c r="I195" i="13" s="1"/>
  <c r="C150" i="10"/>
  <c r="J182" i="17"/>
  <c r="I140" i="14"/>
  <c r="J140" i="14"/>
  <c r="D9" i="7"/>
  <c r="G35" i="6"/>
  <c r="G38" i="6" s="1"/>
  <c r="D9" i="8" s="1"/>
  <c r="J266" i="13"/>
  <c r="H153" i="13"/>
  <c r="I267" i="13"/>
  <c r="G154" i="13"/>
  <c r="I213" i="13" s="1"/>
  <c r="J141" i="14"/>
  <c r="I273" i="13"/>
  <c r="G160" i="13"/>
  <c r="I219" i="13" s="1"/>
  <c r="J247" i="13"/>
  <c r="H134" i="13"/>
  <c r="J246" i="17"/>
  <c r="J183" i="17"/>
  <c r="J274" i="13"/>
  <c r="H161" i="13"/>
  <c r="I254" i="17"/>
  <c r="J251" i="13"/>
  <c r="H138" i="13"/>
  <c r="F35" i="14"/>
  <c r="H159" i="14" s="1"/>
  <c r="F12" i="14"/>
  <c r="I266" i="13"/>
  <c r="G153" i="13"/>
  <c r="I212" i="13" s="1"/>
  <c r="J250" i="17"/>
  <c r="J187" i="17"/>
  <c r="G15" i="6"/>
  <c r="J183" i="13"/>
  <c r="G39" i="18"/>
  <c r="H120" i="13"/>
  <c r="I247" i="13"/>
  <c r="G134" i="13"/>
  <c r="I192" i="13" s="1"/>
  <c r="I274" i="13"/>
  <c r="G161" i="13"/>
  <c r="I220" i="13" s="1"/>
  <c r="J268" i="13"/>
  <c r="H155" i="13"/>
  <c r="G146" i="14"/>
  <c r="G148" i="14" s="1"/>
  <c r="G32" i="14"/>
  <c r="I156" i="14" s="1"/>
  <c r="E167" i="14"/>
  <c r="E169" i="14" s="1"/>
  <c r="G8" i="6"/>
  <c r="I251" i="13"/>
  <c r="G138" i="13"/>
  <c r="I196" i="13" s="1"/>
  <c r="D146" i="10"/>
  <c r="D134" i="10"/>
  <c r="D158" i="10"/>
  <c r="D122" i="10"/>
  <c r="D32" i="10"/>
  <c r="C12" i="7"/>
  <c r="J272" i="13"/>
  <c r="H159" i="13"/>
  <c r="I250" i="17"/>
  <c r="I187" i="17"/>
  <c r="I246" i="17"/>
  <c r="I183" i="17"/>
  <c r="J246" i="13"/>
  <c r="H133" i="13"/>
  <c r="G120" i="13"/>
  <c r="J244" i="13"/>
  <c r="H131" i="13"/>
  <c r="F42" i="18"/>
  <c r="F12" i="18"/>
  <c r="C6" i="9"/>
  <c r="J226" i="13"/>
  <c r="I268" i="13"/>
  <c r="G155" i="13"/>
  <c r="I214" i="13" s="1"/>
  <c r="F65" i="13"/>
  <c r="H200" i="13" s="1"/>
  <c r="F10" i="13"/>
  <c r="D147" i="10"/>
  <c r="D135" i="10"/>
  <c r="D159" i="10"/>
  <c r="D123" i="10"/>
  <c r="D33" i="10"/>
  <c r="J254" i="17"/>
  <c r="H229" i="13" l="1"/>
  <c r="J284" i="13"/>
  <c r="J285" i="13"/>
  <c r="I284" i="13"/>
  <c r="I285" i="13"/>
  <c r="I161" i="14"/>
  <c r="I160" i="14"/>
  <c r="H282" i="13"/>
  <c r="H283" i="13"/>
  <c r="H157" i="14"/>
  <c r="H158" i="14"/>
  <c r="J191" i="13"/>
  <c r="J160" i="14"/>
  <c r="H62" i="4"/>
  <c r="G32" i="7" s="1"/>
  <c r="H42" i="10" s="1"/>
  <c r="H33" i="4"/>
  <c r="H36" i="4" s="1"/>
  <c r="G63" i="4"/>
  <c r="H35" i="4"/>
  <c r="H63" i="4" s="1"/>
  <c r="H64" i="4" s="1"/>
  <c r="J218" i="13"/>
  <c r="J219" i="13"/>
  <c r="J212" i="13"/>
  <c r="J203" i="13"/>
  <c r="D29" i="9"/>
  <c r="E158" i="10"/>
  <c r="E134" i="10"/>
  <c r="I19" i="7"/>
  <c r="I23" i="7" s="1"/>
  <c r="P16" i="7" s="1"/>
  <c r="P15" i="7"/>
  <c r="E32" i="10"/>
  <c r="E122" i="10"/>
  <c r="E146" i="10"/>
  <c r="J144" i="14"/>
  <c r="G174" i="18"/>
  <c r="F175" i="18"/>
  <c r="B19" i="7"/>
  <c r="E177" i="18"/>
  <c r="F41" i="6"/>
  <c r="I144" i="14"/>
  <c r="E51" i="6"/>
  <c r="K14" i="6"/>
  <c r="J260" i="17" s="1"/>
  <c r="J191" i="17"/>
  <c r="K32" i="6" s="1"/>
  <c r="J6" i="6"/>
  <c r="I259" i="17" s="1"/>
  <c r="J189" i="13"/>
  <c r="I191" i="17"/>
  <c r="J32" i="6" s="1"/>
  <c r="J14" i="6"/>
  <c r="I260" i="17" s="1"/>
  <c r="E9" i="7"/>
  <c r="H35" i="6"/>
  <c r="G274" i="17"/>
  <c r="G276" i="17" s="1"/>
  <c r="H44" i="6"/>
  <c r="D6" i="9"/>
  <c r="F166" i="14"/>
  <c r="G65" i="13"/>
  <c r="I200" i="13" s="1"/>
  <c r="G10" i="13"/>
  <c r="J192" i="13"/>
  <c r="E8" i="7"/>
  <c r="H34" i="6"/>
  <c r="E302" i="13"/>
  <c r="E305" i="13" s="1"/>
  <c r="C15" i="7"/>
  <c r="J15" i="7" s="1"/>
  <c r="F46" i="6"/>
  <c r="O45" i="4"/>
  <c r="D36" i="10"/>
  <c r="E178" i="14"/>
  <c r="E180" i="14" s="1"/>
  <c r="C16" i="7"/>
  <c r="J16" i="7" s="1"/>
  <c r="J24" i="7" s="1"/>
  <c r="F47" i="6"/>
  <c r="F290" i="13"/>
  <c r="H7" i="6"/>
  <c r="G19" i="6"/>
  <c r="G39" i="6" s="1"/>
  <c r="J195" i="13"/>
  <c r="Q40" i="4"/>
  <c r="Q41" i="4" s="1"/>
  <c r="Q58" i="4"/>
  <c r="Q59" i="4" s="1"/>
  <c r="D126" i="10"/>
  <c r="H65" i="13"/>
  <c r="J200" i="13" s="1"/>
  <c r="H10" i="13"/>
  <c r="H35" i="14"/>
  <c r="J159" i="14" s="1"/>
  <c r="H12" i="14"/>
  <c r="J215" i="13"/>
  <c r="H15" i="6"/>
  <c r="D162" i="10"/>
  <c r="G35" i="14"/>
  <c r="I159" i="14" s="1"/>
  <c r="G12" i="14"/>
  <c r="H16" i="6"/>
  <c r="J213" i="13"/>
  <c r="N63" i="4"/>
  <c r="N64" i="4" s="1"/>
  <c r="H42" i="18"/>
  <c r="H12" i="18"/>
  <c r="H259" i="17"/>
  <c r="H262" i="17" s="1"/>
  <c r="J193" i="13"/>
  <c r="J188" i="13"/>
  <c r="J194" i="13"/>
  <c r="D138" i="10"/>
  <c r="J178" i="13"/>
  <c r="J220" i="13"/>
  <c r="J187" i="13"/>
  <c r="J198" i="13"/>
  <c r="I178" i="13"/>
  <c r="D150" i="10"/>
  <c r="H146" i="14"/>
  <c r="H148" i="14" s="1"/>
  <c r="E135" i="10"/>
  <c r="E159" i="10"/>
  <c r="E123" i="10"/>
  <c r="E147" i="10"/>
  <c r="E33" i="10"/>
  <c r="P52" i="4"/>
  <c r="P53" i="4" s="1"/>
  <c r="J139" i="14"/>
  <c r="J217" i="13"/>
  <c r="D12" i="7"/>
  <c r="J216" i="13"/>
  <c r="F167" i="14"/>
  <c r="H8" i="6"/>
  <c r="J214" i="13"/>
  <c r="G42" i="18"/>
  <c r="G12" i="18"/>
  <c r="J190" i="13"/>
  <c r="G13" i="8"/>
  <c r="H48" i="4"/>
  <c r="I47" i="4" s="1"/>
  <c r="H165" i="18"/>
  <c r="H166" i="18"/>
  <c r="J196" i="13"/>
  <c r="F289" i="13"/>
  <c r="G11" i="6"/>
  <c r="I229" i="13" l="1"/>
  <c r="G8" i="7" s="1"/>
  <c r="J229" i="13"/>
  <c r="J157" i="14"/>
  <c r="J158" i="14"/>
  <c r="C141" i="10"/>
  <c r="C142" i="10" s="1"/>
  <c r="C143" i="10" s="1"/>
  <c r="C38" i="10"/>
  <c r="C40" i="10" s="1"/>
  <c r="C44" i="10" s="1"/>
  <c r="J282" i="13"/>
  <c r="J283" i="13"/>
  <c r="I157" i="14"/>
  <c r="I158" i="14"/>
  <c r="I282" i="13"/>
  <c r="I283" i="13"/>
  <c r="G14" i="8"/>
  <c r="G15" i="8" s="1"/>
  <c r="I33" i="4"/>
  <c r="I36" i="4" s="1"/>
  <c r="I62" i="4"/>
  <c r="H32" i="7" s="1"/>
  <c r="I42" i="10" s="1"/>
  <c r="F14" i="8"/>
  <c r="F15" i="8" s="1"/>
  <c r="G64" i="4"/>
  <c r="H107" i="10"/>
  <c r="I93" i="10"/>
  <c r="G92" i="4"/>
  <c r="H57" i="10"/>
  <c r="I11" i="10"/>
  <c r="I35" i="4"/>
  <c r="I63" i="4" s="1"/>
  <c r="I64" i="4" s="1"/>
  <c r="E162" i="10"/>
  <c r="E52" i="6"/>
  <c r="E53" i="6" s="1"/>
  <c r="C11" i="9"/>
  <c r="J23" i="7"/>
  <c r="E11" i="9"/>
  <c r="F11" i="9" s="1"/>
  <c r="G11" i="9" s="1"/>
  <c r="H11" i="9" s="1"/>
  <c r="I11" i="9" s="1"/>
  <c r="E138" i="10"/>
  <c r="E36" i="10"/>
  <c r="E126" i="10"/>
  <c r="E150" i="10"/>
  <c r="G41" i="6"/>
  <c r="D10" i="8"/>
  <c r="E29" i="9" s="1"/>
  <c r="H174" i="18"/>
  <c r="G175" i="18"/>
  <c r="P54" i="4"/>
  <c r="Q51" i="4" s="1"/>
  <c r="C153" i="10"/>
  <c r="C154" i="10" s="1"/>
  <c r="C155" i="10" s="1"/>
  <c r="B28" i="7"/>
  <c r="B30" i="7" s="1"/>
  <c r="B35" i="7" s="1"/>
  <c r="C165" i="10"/>
  <c r="C166" i="10" s="1"/>
  <c r="C167" i="10" s="1"/>
  <c r="C22" i="9"/>
  <c r="C129" i="10"/>
  <c r="C130" i="10" s="1"/>
  <c r="C131" i="10" s="1"/>
  <c r="F50" i="6"/>
  <c r="E186" i="18"/>
  <c r="E188" i="18" s="1"/>
  <c r="K6" i="6"/>
  <c r="J259" i="17" s="1"/>
  <c r="J262" i="17" s="1"/>
  <c r="F177" i="18"/>
  <c r="F186" i="18" s="1"/>
  <c r="F188" i="18" s="1"/>
  <c r="I16" i="6"/>
  <c r="O46" i="4"/>
  <c r="O48" i="4" s="1"/>
  <c r="G289" i="13"/>
  <c r="H11" i="6"/>
  <c r="F33" i="10"/>
  <c r="F135" i="10"/>
  <c r="F159" i="10"/>
  <c r="F123" i="10"/>
  <c r="F147" i="10"/>
  <c r="F292" i="13"/>
  <c r="H38" i="6"/>
  <c r="E9" i="8" s="1"/>
  <c r="E6" i="9"/>
  <c r="Q60" i="4"/>
  <c r="C19" i="7"/>
  <c r="D38" i="10" s="1"/>
  <c r="F32" i="10"/>
  <c r="F134" i="10"/>
  <c r="F158" i="10"/>
  <c r="F122" i="10"/>
  <c r="F146" i="10"/>
  <c r="E12" i="7"/>
  <c r="G166" i="14"/>
  <c r="G167" i="14"/>
  <c r="I8" i="6"/>
  <c r="F169" i="14"/>
  <c r="H274" i="17"/>
  <c r="H276" i="17" s="1"/>
  <c r="I44" i="6"/>
  <c r="I262" i="17"/>
  <c r="J146" i="14"/>
  <c r="J148" i="14" s="1"/>
  <c r="F9" i="7"/>
  <c r="I35" i="6"/>
  <c r="I146" i="14"/>
  <c r="I148" i="14" s="1"/>
  <c r="G290" i="13"/>
  <c r="I7" i="6"/>
  <c r="H19" i="6"/>
  <c r="H39" i="6" s="1"/>
  <c r="E10" i="8" s="1"/>
  <c r="I15" i="6"/>
  <c r="Q42" i="4"/>
  <c r="I45" i="4"/>
  <c r="I165" i="18"/>
  <c r="I166" i="18"/>
  <c r="F8" i="7"/>
  <c r="I34" i="6"/>
  <c r="J165" i="18"/>
  <c r="J166" i="18"/>
  <c r="J11" i="10" l="1"/>
  <c r="H92" i="4"/>
  <c r="J93" i="10"/>
  <c r="I57" i="10"/>
  <c r="I107" i="10"/>
  <c r="H14" i="8"/>
  <c r="D11" i="2"/>
  <c r="E20" i="2" s="1"/>
  <c r="F29" i="9"/>
  <c r="F51" i="6"/>
  <c r="C25" i="8"/>
  <c r="D12" i="9" s="1"/>
  <c r="D13" i="9" s="1"/>
  <c r="J175" i="18"/>
  <c r="B24" i="8"/>
  <c r="B38" i="7" s="1"/>
  <c r="I174" i="18"/>
  <c r="H175" i="18"/>
  <c r="H177" i="18" s="1"/>
  <c r="Q52" i="4"/>
  <c r="Q53" i="4" s="1"/>
  <c r="J31" i="7"/>
  <c r="J8" i="6"/>
  <c r="F150" i="10"/>
  <c r="G292" i="13"/>
  <c r="G302" i="13" s="1"/>
  <c r="G305" i="13" s="1"/>
  <c r="K15" i="6"/>
  <c r="J290" i="13" s="1"/>
  <c r="J34" i="6"/>
  <c r="J15" i="6"/>
  <c r="K7" i="6" s="1"/>
  <c r="H167" i="14"/>
  <c r="K16" i="6"/>
  <c r="J167" i="14" s="1"/>
  <c r="G169" i="14"/>
  <c r="G178" i="14" s="1"/>
  <c r="G180" i="14" s="1"/>
  <c r="F126" i="10"/>
  <c r="F162" i="10"/>
  <c r="I38" i="6"/>
  <c r="F9" i="8" s="1"/>
  <c r="F36" i="10"/>
  <c r="F138" i="10"/>
  <c r="H9" i="7"/>
  <c r="K35" i="6"/>
  <c r="P45" i="4"/>
  <c r="H8" i="7"/>
  <c r="K34" i="6"/>
  <c r="H166" i="14"/>
  <c r="D165" i="10"/>
  <c r="D166" i="10" s="1"/>
  <c r="D167" i="10" s="1"/>
  <c r="D129" i="10"/>
  <c r="D130" i="10" s="1"/>
  <c r="D131" i="10" s="1"/>
  <c r="D153" i="10"/>
  <c r="D154" i="10" s="1"/>
  <c r="D155" i="10" s="1"/>
  <c r="D40" i="10"/>
  <c r="D44" i="10" s="1"/>
  <c r="D22" i="9"/>
  <c r="D141" i="10"/>
  <c r="D142" i="10" s="1"/>
  <c r="D143" i="10" s="1"/>
  <c r="C28" i="7"/>
  <c r="C30" i="7" s="1"/>
  <c r="H13" i="8"/>
  <c r="I48" i="4"/>
  <c r="H290" i="13"/>
  <c r="J7" i="6"/>
  <c r="I19" i="6"/>
  <c r="I39" i="6" s="1"/>
  <c r="F10" i="8" s="1"/>
  <c r="G135" i="10"/>
  <c r="G159" i="10"/>
  <c r="G123" i="10"/>
  <c r="G147" i="10"/>
  <c r="G33" i="10"/>
  <c r="G177" i="18"/>
  <c r="F6" i="9"/>
  <c r="G134" i="10"/>
  <c r="G158" i="10"/>
  <c r="G122" i="10"/>
  <c r="G146" i="10"/>
  <c r="G32" i="10"/>
  <c r="F12" i="7"/>
  <c r="F178" i="14"/>
  <c r="F180" i="14" s="1"/>
  <c r="D16" i="7"/>
  <c r="K16" i="7" s="1"/>
  <c r="K24" i="7" s="1"/>
  <c r="G47" i="6"/>
  <c r="H289" i="13"/>
  <c r="I11" i="6"/>
  <c r="I274" i="17"/>
  <c r="I276" i="17" s="1"/>
  <c r="J44" i="6"/>
  <c r="H158" i="10"/>
  <c r="H146" i="10"/>
  <c r="H32" i="10"/>
  <c r="H134" i="10"/>
  <c r="H122" i="10"/>
  <c r="J274" i="17"/>
  <c r="J276" i="17" s="1"/>
  <c r="K44" i="6"/>
  <c r="H41" i="6"/>
  <c r="G9" i="7"/>
  <c r="J35" i="6"/>
  <c r="J16" i="6"/>
  <c r="F302" i="13"/>
  <c r="F305" i="13" s="1"/>
  <c r="D15" i="7"/>
  <c r="K15" i="7" s="1"/>
  <c r="K23" i="7" s="1"/>
  <c r="G46" i="6"/>
  <c r="O62" i="4"/>
  <c r="F93" i="4" s="1"/>
  <c r="O47" i="4"/>
  <c r="I20" i="2" l="1"/>
  <c r="C10" i="9"/>
  <c r="D4" i="5"/>
  <c r="H15" i="8"/>
  <c r="D12" i="2"/>
  <c r="G29" i="9"/>
  <c r="B27" i="8"/>
  <c r="C24" i="8"/>
  <c r="C38" i="7" s="1"/>
  <c r="J174" i="18"/>
  <c r="I175" i="18"/>
  <c r="I177" i="18" s="1"/>
  <c r="Q54" i="4"/>
  <c r="I166" i="14"/>
  <c r="E15" i="7"/>
  <c r="L15" i="7" s="1"/>
  <c r="I290" i="13"/>
  <c r="J19" i="6"/>
  <c r="J39" i="6" s="1"/>
  <c r="G10" i="8" s="1"/>
  <c r="H169" i="14"/>
  <c r="I47" i="6" s="1"/>
  <c r="K19" i="6"/>
  <c r="K39" i="6" s="1"/>
  <c r="H10" i="8" s="1"/>
  <c r="H46" i="6"/>
  <c r="H47" i="6"/>
  <c r="E16" i="7"/>
  <c r="L16" i="7" s="1"/>
  <c r="J38" i="6"/>
  <c r="G9" i="8" s="1"/>
  <c r="K38" i="6"/>
  <c r="H9" i="8" s="1"/>
  <c r="G126" i="10"/>
  <c r="I41" i="6"/>
  <c r="G50" i="6"/>
  <c r="G162" i="10"/>
  <c r="I158" i="10"/>
  <c r="I122" i="10"/>
  <c r="I146" i="10"/>
  <c r="I32" i="10"/>
  <c r="I134" i="10"/>
  <c r="H12" i="7"/>
  <c r="H186" i="18"/>
  <c r="H188" i="18" s="1"/>
  <c r="G138" i="10"/>
  <c r="J289" i="13"/>
  <c r="J292" i="13" s="1"/>
  <c r="O63" i="4"/>
  <c r="O64" i="4" s="1"/>
  <c r="H159" i="10"/>
  <c r="H162" i="10" s="1"/>
  <c r="H147" i="10"/>
  <c r="H150" i="10" s="1"/>
  <c r="H33" i="10"/>
  <c r="H36" i="10" s="1"/>
  <c r="H135" i="10"/>
  <c r="H138" i="10" s="1"/>
  <c r="H123" i="10"/>
  <c r="H126" i="10" s="1"/>
  <c r="I289" i="13"/>
  <c r="J11" i="6"/>
  <c r="P46" i="4"/>
  <c r="P62" i="4" s="1"/>
  <c r="G93" i="4" s="1"/>
  <c r="G186" i="18"/>
  <c r="G188" i="18" s="1"/>
  <c r="H292" i="13"/>
  <c r="I167" i="14"/>
  <c r="K8" i="6"/>
  <c r="G6" i="9"/>
  <c r="I159" i="10"/>
  <c r="I123" i="10"/>
  <c r="I147" i="10"/>
  <c r="I33" i="10"/>
  <c r="I135" i="10"/>
  <c r="G36" i="10"/>
  <c r="D19" i="7"/>
  <c r="E38" i="10" s="1"/>
  <c r="G12" i="7"/>
  <c r="G150" i="10"/>
  <c r="C35" i="7"/>
  <c r="C10" i="5" l="1"/>
  <c r="D8" i="5"/>
  <c r="C91" i="10"/>
  <c r="C15" i="10"/>
  <c r="C27" i="8"/>
  <c r="C68" i="10"/>
  <c r="E21" i="2"/>
  <c r="C27" i="9"/>
  <c r="I29" i="9"/>
  <c r="H29" i="9"/>
  <c r="D24" i="8"/>
  <c r="D38" i="7" s="1"/>
  <c r="K11" i="6"/>
  <c r="G51" i="6"/>
  <c r="D25" i="8"/>
  <c r="E12" i="9" s="1"/>
  <c r="E13" i="9" s="1"/>
  <c r="P47" i="4"/>
  <c r="P63" i="4" s="1"/>
  <c r="P64" i="4" s="1"/>
  <c r="P48" i="4"/>
  <c r="Q45" i="4" s="1"/>
  <c r="I169" i="14"/>
  <c r="I178" i="14" s="1"/>
  <c r="I180" i="14" s="1"/>
  <c r="K41" i="6"/>
  <c r="J41" i="6"/>
  <c r="F16" i="7"/>
  <c r="M16" i="7" s="1"/>
  <c r="H178" i="14"/>
  <c r="H180" i="14" s="1"/>
  <c r="I292" i="13"/>
  <c r="I302" i="13" s="1"/>
  <c r="I305" i="13" s="1"/>
  <c r="E19" i="7"/>
  <c r="H50" i="6"/>
  <c r="I126" i="10"/>
  <c r="H6" i="9"/>
  <c r="I162" i="10"/>
  <c r="H302" i="13"/>
  <c r="H305" i="13" s="1"/>
  <c r="F15" i="7"/>
  <c r="M15" i="7" s="1"/>
  <c r="I46" i="6"/>
  <c r="I50" i="6" s="1"/>
  <c r="J302" i="13"/>
  <c r="J305" i="13" s="1"/>
  <c r="H15" i="7"/>
  <c r="O15" i="7" s="1"/>
  <c r="K46" i="6"/>
  <c r="E129" i="10"/>
  <c r="E130" i="10" s="1"/>
  <c r="E131" i="10" s="1"/>
  <c r="E153" i="10"/>
  <c r="E154" i="10" s="1"/>
  <c r="E155" i="10" s="1"/>
  <c r="E40" i="10"/>
  <c r="E44" i="10" s="1"/>
  <c r="E22" i="9"/>
  <c r="E141" i="10"/>
  <c r="E142" i="10" s="1"/>
  <c r="E143" i="10" s="1"/>
  <c r="E165" i="10"/>
  <c r="E166" i="10" s="1"/>
  <c r="E167" i="10" s="1"/>
  <c r="D28" i="7"/>
  <c r="D30" i="7" s="1"/>
  <c r="I6" i="9"/>
  <c r="I138" i="10"/>
  <c r="I36" i="10"/>
  <c r="J177" i="18"/>
  <c r="J166" i="14"/>
  <c r="J169" i="14" s="1"/>
  <c r="I186" i="18"/>
  <c r="I188" i="18" s="1"/>
  <c r="I150" i="10"/>
  <c r="F45" i="5" l="1"/>
  <c r="F65" i="5"/>
  <c r="F18" i="5"/>
  <c r="F70" i="5"/>
  <c r="F43" i="5"/>
  <c r="F67" i="5"/>
  <c r="F36" i="5"/>
  <c r="F47" i="5"/>
  <c r="F35" i="5"/>
  <c r="F49" i="5"/>
  <c r="F75" i="5"/>
  <c r="F37" i="5"/>
  <c r="F87" i="5"/>
  <c r="F64" i="5"/>
  <c r="F19" i="5"/>
  <c r="F58" i="5"/>
  <c r="F24" i="5"/>
  <c r="F29" i="5"/>
  <c r="F17" i="5"/>
  <c r="F22" i="5"/>
  <c r="F33" i="5"/>
  <c r="F23" i="5"/>
  <c r="F50" i="5"/>
  <c r="F52" i="5"/>
  <c r="F83" i="5"/>
  <c r="F57" i="5"/>
  <c r="F66" i="5"/>
  <c r="F74" i="5"/>
  <c r="F32" i="5"/>
  <c r="F20" i="5"/>
  <c r="F40" i="5"/>
  <c r="F59" i="5"/>
  <c r="F78" i="5"/>
  <c r="F51" i="5"/>
  <c r="F61" i="5"/>
  <c r="F84" i="5"/>
  <c r="F26" i="5"/>
  <c r="F77" i="5"/>
  <c r="F80" i="5"/>
  <c r="F69" i="5"/>
  <c r="F54" i="5"/>
  <c r="F72" i="5"/>
  <c r="F62" i="5"/>
  <c r="F39" i="5"/>
  <c r="F38" i="5"/>
  <c r="F48" i="5"/>
  <c r="F81" i="5"/>
  <c r="F85" i="5"/>
  <c r="F71" i="5"/>
  <c r="F25" i="5"/>
  <c r="F76" i="5"/>
  <c r="F42" i="5"/>
  <c r="F27" i="5"/>
  <c r="F31" i="5"/>
  <c r="F28" i="5"/>
  <c r="F73" i="5"/>
  <c r="F21" i="5"/>
  <c r="F82" i="5"/>
  <c r="F68" i="5"/>
  <c r="F79" i="5"/>
  <c r="F60" i="5"/>
  <c r="F63" i="5"/>
  <c r="F46" i="5"/>
  <c r="F30" i="5"/>
  <c r="F41" i="5"/>
  <c r="F44" i="5"/>
  <c r="F55" i="5"/>
  <c r="F86" i="5"/>
  <c r="F34" i="5"/>
  <c r="F53" i="5"/>
  <c r="F16" i="5"/>
  <c r="F56" i="5"/>
  <c r="D10" i="5"/>
  <c r="F10" i="5" s="1"/>
  <c r="E10" i="5" s="1"/>
  <c r="G10" i="5" s="1"/>
  <c r="C11" i="5" s="1"/>
  <c r="B33" i="8"/>
  <c r="C33" i="8" s="1"/>
  <c r="D33" i="8" s="1"/>
  <c r="C81" i="10"/>
  <c r="D22" i="10"/>
  <c r="F165" i="10"/>
  <c r="F166" i="10" s="1"/>
  <c r="F167" i="10" s="1"/>
  <c r="F38" i="10"/>
  <c r="F40" i="10" s="1"/>
  <c r="F44" i="10" s="1"/>
  <c r="C7" i="9"/>
  <c r="C13" i="9" s="1"/>
  <c r="E22" i="2"/>
  <c r="H21" i="2" s="1"/>
  <c r="D27" i="9"/>
  <c r="E24" i="8"/>
  <c r="E38" i="7" s="1"/>
  <c r="I51" i="6"/>
  <c r="F25" i="8"/>
  <c r="H51" i="6"/>
  <c r="E25" i="8"/>
  <c r="F12" i="9" s="1"/>
  <c r="F13" i="9" s="1"/>
  <c r="D27" i="8"/>
  <c r="J47" i="6"/>
  <c r="F19" i="7"/>
  <c r="F141" i="10"/>
  <c r="F142" i="10" s="1"/>
  <c r="F143" i="10" s="1"/>
  <c r="F153" i="10"/>
  <c r="F154" i="10" s="1"/>
  <c r="F155" i="10" s="1"/>
  <c r="G16" i="7"/>
  <c r="N16" i="7" s="1"/>
  <c r="J46" i="6"/>
  <c r="G15" i="7"/>
  <c r="N15" i="7" s="1"/>
  <c r="F22" i="9"/>
  <c r="E28" i="7"/>
  <c r="E30" i="7" s="1"/>
  <c r="F129" i="10"/>
  <c r="F130" i="10" s="1"/>
  <c r="F131" i="10" s="1"/>
  <c r="Q46" i="4"/>
  <c r="Q48" i="4" s="1"/>
  <c r="J178" i="14"/>
  <c r="J180" i="14" s="1"/>
  <c r="H16" i="7"/>
  <c r="O16" i="7" s="1"/>
  <c r="K47" i="6"/>
  <c r="J186" i="18"/>
  <c r="J188" i="18" s="1"/>
  <c r="D35" i="7"/>
  <c r="D11" i="5" l="1"/>
  <c r="F11" i="5" s="1"/>
  <c r="E11" i="5" s="1"/>
  <c r="G11" i="5" s="1"/>
  <c r="C12" i="5" s="1"/>
  <c r="H20" i="2"/>
  <c r="H19" i="2"/>
  <c r="G22" i="9"/>
  <c r="G38" i="10"/>
  <c r="E27" i="9"/>
  <c r="G12" i="9"/>
  <c r="G13" i="9" s="1"/>
  <c r="F24" i="8"/>
  <c r="F38" i="7" s="1"/>
  <c r="E27" i="8"/>
  <c r="G19" i="7"/>
  <c r="J50" i="6"/>
  <c r="G129" i="10"/>
  <c r="G130" i="10" s="1"/>
  <c r="G131" i="10" s="1"/>
  <c r="G141" i="10"/>
  <c r="G142" i="10" s="1"/>
  <c r="G143" i="10" s="1"/>
  <c r="G165" i="10"/>
  <c r="G166" i="10" s="1"/>
  <c r="G167" i="10" s="1"/>
  <c r="G153" i="10"/>
  <c r="G154" i="10" s="1"/>
  <c r="G155" i="10" s="1"/>
  <c r="E35" i="7"/>
  <c r="G40" i="10"/>
  <c r="G44" i="10" s="1"/>
  <c r="F28" i="7"/>
  <c r="F30" i="7" s="1"/>
  <c r="H19" i="7"/>
  <c r="K50" i="6"/>
  <c r="E33" i="8"/>
  <c r="Q62" i="4"/>
  <c r="H93" i="4" s="1"/>
  <c r="Q47" i="4"/>
  <c r="Q63" i="4" s="1"/>
  <c r="Q64" i="4" s="1"/>
  <c r="D12" i="5" l="1"/>
  <c r="F12" i="5" s="1"/>
  <c r="E12" i="5" s="1"/>
  <c r="G12" i="5" s="1"/>
  <c r="C13" i="5" s="1"/>
  <c r="H38" i="10"/>
  <c r="H40" i="10" s="1"/>
  <c r="H44" i="10" s="1"/>
  <c r="I153" i="10"/>
  <c r="I154" i="10" s="1"/>
  <c r="I155" i="10" s="1"/>
  <c r="I38" i="10"/>
  <c r="F27" i="8"/>
  <c r="F27" i="9"/>
  <c r="G24" i="8"/>
  <c r="G38" i="7" s="1"/>
  <c r="H22" i="9"/>
  <c r="J51" i="6"/>
  <c r="G25" i="8"/>
  <c r="H12" i="9" s="1"/>
  <c r="H13" i="9" s="1"/>
  <c r="K51" i="6"/>
  <c r="H25" i="8"/>
  <c r="G28" i="7"/>
  <c r="G30" i="7" s="1"/>
  <c r="G35" i="7" s="1"/>
  <c r="H153" i="10"/>
  <c r="H154" i="10" s="1"/>
  <c r="H155" i="10" s="1"/>
  <c r="H129" i="10"/>
  <c r="H130" i="10" s="1"/>
  <c r="H131" i="10" s="1"/>
  <c r="H165" i="10"/>
  <c r="H166" i="10" s="1"/>
  <c r="H167" i="10" s="1"/>
  <c r="H141" i="10"/>
  <c r="H142" i="10" s="1"/>
  <c r="H143" i="10" s="1"/>
  <c r="F35" i="7"/>
  <c r="H28" i="7"/>
  <c r="H30" i="7" s="1"/>
  <c r="H35" i="7" s="1"/>
  <c r="I165" i="10"/>
  <c r="I166" i="10" s="1"/>
  <c r="I167" i="10" s="1"/>
  <c r="I129" i="10"/>
  <c r="I130" i="10" s="1"/>
  <c r="I131" i="10" s="1"/>
  <c r="I141" i="10"/>
  <c r="I142" i="10" s="1"/>
  <c r="I143" i="10" s="1"/>
  <c r="I22" i="9"/>
  <c r="I40" i="10"/>
  <c r="I44" i="10" s="1"/>
  <c r="F33" i="8"/>
  <c r="D13" i="5" l="1"/>
  <c r="F13" i="5" s="1"/>
  <c r="E13" i="5" s="1"/>
  <c r="G13" i="5" s="1"/>
  <c r="C14" i="5" s="1"/>
  <c r="C46" i="10"/>
  <c r="D28" i="2" s="1"/>
  <c r="G27" i="9"/>
  <c r="I12" i="9"/>
  <c r="I13" i="9" s="1"/>
  <c r="H24" i="8"/>
  <c r="H38" i="7" s="1"/>
  <c r="G27" i="8"/>
  <c r="G33" i="8"/>
  <c r="D14" i="5" l="1"/>
  <c r="F14" i="5" s="1"/>
  <c r="E14" i="5" s="1"/>
  <c r="G14" i="5" s="1"/>
  <c r="C15" i="5" s="1"/>
  <c r="D15" i="5" s="1"/>
  <c r="F15" i="5" s="1"/>
  <c r="E15" i="5" s="1"/>
  <c r="G15" i="5" s="1"/>
  <c r="C16" i="5" s="1"/>
  <c r="D16" i="5" s="1"/>
  <c r="E16" i="5" s="1"/>
  <c r="G16" i="5" s="1"/>
  <c r="C17" i="5" s="1"/>
  <c r="D17" i="5" s="1"/>
  <c r="E17" i="5" s="1"/>
  <c r="G17" i="5" s="1"/>
  <c r="C18" i="5" s="1"/>
  <c r="H27" i="9"/>
  <c r="I27" i="9"/>
  <c r="H27" i="8"/>
  <c r="H31" i="8" s="1"/>
  <c r="H33" i="8"/>
  <c r="D18" i="5" l="1"/>
  <c r="E18" i="5" s="1"/>
  <c r="G18" i="5" s="1"/>
  <c r="C19" i="5" s="1"/>
  <c r="D19" i="5" l="1"/>
  <c r="E19" i="5" s="1"/>
  <c r="G19" i="5" s="1"/>
  <c r="C20" i="5" s="1"/>
  <c r="D20" i="5" l="1"/>
  <c r="E20" i="5" s="1"/>
  <c r="G20" i="5" s="1"/>
  <c r="C21" i="5" s="1"/>
  <c r="D21" i="5" l="1"/>
  <c r="E21" i="5" l="1"/>
  <c r="C26" i="9"/>
  <c r="B37" i="7" l="1"/>
  <c r="B39" i="7" s="1"/>
  <c r="C106" i="10" s="1"/>
  <c r="C109" i="10"/>
  <c r="C25" i="9"/>
  <c r="C112" i="10" s="1"/>
  <c r="G21" i="5"/>
  <c r="B50" i="7" l="1"/>
  <c r="C110" i="10"/>
  <c r="C114" i="10" s="1"/>
  <c r="B28" i="8"/>
  <c r="B31" i="8" s="1"/>
  <c r="C22" i="5"/>
  <c r="J30" i="7"/>
  <c r="J32" i="7" s="1"/>
  <c r="B91" i="4"/>
  <c r="B94" i="4" s="1"/>
  <c r="B95" i="4" l="1"/>
  <c r="B40" i="7" s="1"/>
  <c r="D22" i="5"/>
  <c r="C28" i="9" l="1"/>
  <c r="B41" i="7"/>
  <c r="C39" i="9" s="1"/>
  <c r="E22" i="5"/>
  <c r="B43" i="7" l="1"/>
  <c r="B37" i="8" s="1"/>
  <c r="B39" i="8" s="1"/>
  <c r="C55" i="10"/>
  <c r="C60" i="10" s="1"/>
  <c r="C64" i="10" s="1"/>
  <c r="C30" i="9"/>
  <c r="C31" i="9" s="1"/>
  <c r="C33" i="9" s="1"/>
  <c r="C38" i="9"/>
  <c r="C40" i="9" s="1"/>
  <c r="D92" i="10"/>
  <c r="D95" i="10" s="1"/>
  <c r="D96" i="10" s="1"/>
  <c r="C78" i="10"/>
  <c r="D9" i="10"/>
  <c r="D14" i="10" s="1"/>
  <c r="D15" i="10" s="1"/>
  <c r="G22" i="5"/>
  <c r="C23" i="5" s="1"/>
  <c r="B8" i="8" l="1"/>
  <c r="B11" i="8" s="1"/>
  <c r="B20" i="8" s="1"/>
  <c r="C34" i="9"/>
  <c r="D32" i="9"/>
  <c r="D23" i="5"/>
  <c r="C36" i="8"/>
  <c r="B41" i="8"/>
  <c r="B43" i="8" s="1"/>
  <c r="B45" i="8" l="1"/>
  <c r="E23" i="5"/>
  <c r="G23" i="5" l="1"/>
  <c r="C24" i="5" s="1"/>
  <c r="D24" i="5" l="1"/>
  <c r="E24" i="5" l="1"/>
  <c r="G24" i="5" l="1"/>
  <c r="C25" i="5" s="1"/>
  <c r="D25" i="5" l="1"/>
  <c r="E25" i="5" l="1"/>
  <c r="G25" i="5" l="1"/>
  <c r="C26" i="5" s="1"/>
  <c r="D26" i="5" l="1"/>
  <c r="E26" i="5" l="1"/>
  <c r="G26" i="5" l="1"/>
  <c r="C27" i="5" s="1"/>
  <c r="D27" i="5" l="1"/>
  <c r="E27" i="5" s="1"/>
  <c r="G27" i="5" s="1"/>
  <c r="C28" i="5" s="1"/>
  <c r="D28" i="5" l="1"/>
  <c r="E28" i="5" s="1"/>
  <c r="G28" i="5" s="1"/>
  <c r="C29" i="5" s="1"/>
  <c r="D29" i="5" l="1"/>
  <c r="E29" i="5" s="1"/>
  <c r="G29" i="5" s="1"/>
  <c r="C30" i="5" s="1"/>
  <c r="D30" i="5" l="1"/>
  <c r="E30" i="5" s="1"/>
  <c r="G30" i="5" s="1"/>
  <c r="C31" i="5" s="1"/>
  <c r="D31" i="5" l="1"/>
  <c r="E31" i="5" s="1"/>
  <c r="G31" i="5" s="1"/>
  <c r="C32" i="5" s="1"/>
  <c r="D32" i="5" l="1"/>
  <c r="E32" i="5" s="1"/>
  <c r="G32" i="5" s="1"/>
  <c r="C33" i="5" s="1"/>
  <c r="D33" i="5" l="1"/>
  <c r="E33" i="5" l="1"/>
  <c r="D26" i="9"/>
  <c r="C37" i="7" s="1"/>
  <c r="C39" i="7" l="1"/>
  <c r="D106" i="10" s="1"/>
  <c r="C50" i="7"/>
  <c r="D109" i="10"/>
  <c r="D25" i="9"/>
  <c r="G33" i="5"/>
  <c r="D110" i="10" l="1"/>
  <c r="C28" i="8"/>
  <c r="C31" i="8" s="1"/>
  <c r="C34" i="5"/>
  <c r="D112" i="10"/>
  <c r="C91" i="4"/>
  <c r="C94" i="4" l="1"/>
  <c r="C95" i="4" s="1"/>
  <c r="C40" i="7" s="1"/>
  <c r="D114" i="10"/>
  <c r="D34" i="5"/>
  <c r="D28" i="9" l="1"/>
  <c r="C41" i="7"/>
  <c r="D39" i="9" s="1"/>
  <c r="E34" i="5"/>
  <c r="C37" i="8" l="1"/>
  <c r="C39" i="8" s="1"/>
  <c r="D36" i="8" s="1"/>
  <c r="E9" i="10"/>
  <c r="E14" i="10" s="1"/>
  <c r="E15" i="10" s="1"/>
  <c r="D78" i="10"/>
  <c r="D55" i="10"/>
  <c r="D60" i="10" s="1"/>
  <c r="D64" i="10" s="1"/>
  <c r="E92" i="10"/>
  <c r="E95" i="10" s="1"/>
  <c r="E96" i="10" s="1"/>
  <c r="C43" i="7"/>
  <c r="D38" i="9"/>
  <c r="D40" i="9" s="1"/>
  <c r="D30" i="9"/>
  <c r="D31" i="9" s="1"/>
  <c r="D33" i="9" s="1"/>
  <c r="C8" i="8" s="1"/>
  <c r="C11" i="8" s="1"/>
  <c r="C20" i="8" s="1"/>
  <c r="G34" i="5"/>
  <c r="C35" i="5" s="1"/>
  <c r="C41" i="8" l="1"/>
  <c r="C43" i="8" s="1"/>
  <c r="C45" i="8" s="1"/>
  <c r="E32" i="9"/>
  <c r="D35" i="5"/>
  <c r="E35" i="5" l="1"/>
  <c r="G35" i="5" l="1"/>
  <c r="C36" i="5" s="1"/>
  <c r="D36" i="5" l="1"/>
  <c r="E36" i="5" l="1"/>
  <c r="G36" i="5" l="1"/>
  <c r="C37" i="5" s="1"/>
  <c r="D37" i="5" l="1"/>
  <c r="E37" i="5" l="1"/>
  <c r="G37" i="5" l="1"/>
  <c r="C38" i="5" s="1"/>
  <c r="D38" i="5" l="1"/>
  <c r="E38" i="5" l="1"/>
  <c r="G38" i="5" l="1"/>
  <c r="C39" i="5" s="1"/>
  <c r="D39" i="5" l="1"/>
  <c r="E39" i="5" s="1"/>
  <c r="G39" i="5" s="1"/>
  <c r="C40" i="5" s="1"/>
  <c r="D40" i="5" l="1"/>
  <c r="E40" i="5" s="1"/>
  <c r="G40" i="5" s="1"/>
  <c r="C41" i="5" s="1"/>
  <c r="D41" i="5" l="1"/>
  <c r="E41" i="5" s="1"/>
  <c r="G41" i="5" s="1"/>
  <c r="C42" i="5" s="1"/>
  <c r="D42" i="5" l="1"/>
  <c r="E42" i="5" s="1"/>
  <c r="G42" i="5" s="1"/>
  <c r="C43" i="5" s="1"/>
  <c r="D43" i="5" l="1"/>
  <c r="E43" i="5" s="1"/>
  <c r="G43" i="5" s="1"/>
  <c r="C44" i="5" s="1"/>
  <c r="D44" i="5" l="1"/>
  <c r="E44" i="5" s="1"/>
  <c r="G44" i="5" s="1"/>
  <c r="C45" i="5" s="1"/>
  <c r="D45" i="5" l="1"/>
  <c r="E45" i="5" l="1"/>
  <c r="E26" i="9"/>
  <c r="D37" i="7" s="1"/>
  <c r="D39" i="7" l="1"/>
  <c r="E106" i="10" s="1"/>
  <c r="D50" i="7"/>
  <c r="E109" i="10"/>
  <c r="E25" i="9"/>
  <c r="G45" i="5"/>
  <c r="E110" i="10" l="1"/>
  <c r="D28" i="8"/>
  <c r="D31" i="8" s="1"/>
  <c r="C46" i="5"/>
  <c r="E112" i="10"/>
  <c r="D91" i="4"/>
  <c r="D94" i="4" l="1"/>
  <c r="D95" i="4" s="1"/>
  <c r="D40" i="7" s="1"/>
  <c r="D41" i="7" s="1"/>
  <c r="E39" i="9" s="1"/>
  <c r="E114" i="10"/>
  <c r="D46" i="5"/>
  <c r="E28" i="9" l="1"/>
  <c r="E46" i="5"/>
  <c r="F9" i="10"/>
  <c r="F14" i="10" s="1"/>
  <c r="E78" i="10"/>
  <c r="F92" i="10"/>
  <c r="F95" i="10" s="1"/>
  <c r="F96" i="10" s="1"/>
  <c r="E55" i="10"/>
  <c r="E60" i="10" s="1"/>
  <c r="E64" i="10" s="1"/>
  <c r="D37" i="8"/>
  <c r="D39" i="8" s="1"/>
  <c r="D43" i="7"/>
  <c r="E30" i="9" l="1"/>
  <c r="E31" i="9" s="1"/>
  <c r="E33" i="9" s="1"/>
  <c r="E38" i="9"/>
  <c r="E40" i="9" s="1"/>
  <c r="E36" i="8"/>
  <c r="D41" i="8"/>
  <c r="D43" i="8" s="1"/>
  <c r="F15" i="10"/>
  <c r="G46" i="5"/>
  <c r="C47" i="5" s="1"/>
  <c r="F32" i="9" l="1"/>
  <c r="D8" i="8"/>
  <c r="D11" i="8" s="1"/>
  <c r="D20" i="8" s="1"/>
  <c r="D45" i="8" s="1"/>
  <c r="D47" i="5"/>
  <c r="E47" i="5" l="1"/>
  <c r="G47" i="5" l="1"/>
  <c r="C48" i="5" s="1"/>
  <c r="D48" i="5" l="1"/>
  <c r="E48" i="5" l="1"/>
  <c r="G48" i="5" l="1"/>
  <c r="C49" i="5" s="1"/>
  <c r="D49" i="5" l="1"/>
  <c r="E49" i="5" l="1"/>
  <c r="G49" i="5" l="1"/>
  <c r="C50" i="5" s="1"/>
  <c r="D50" i="5" l="1"/>
  <c r="E50" i="5" l="1"/>
  <c r="G50" i="5" l="1"/>
  <c r="C51" i="5" s="1"/>
  <c r="D51" i="5" l="1"/>
  <c r="E51" i="5" s="1"/>
  <c r="G51" i="5" s="1"/>
  <c r="C52" i="5" s="1"/>
  <c r="D52" i="5" l="1"/>
  <c r="E52" i="5" s="1"/>
  <c r="G52" i="5" s="1"/>
  <c r="C53" i="5" s="1"/>
  <c r="D53" i="5" l="1"/>
  <c r="E53" i="5" s="1"/>
  <c r="G53" i="5" s="1"/>
  <c r="C54" i="5" s="1"/>
  <c r="D54" i="5" l="1"/>
  <c r="E54" i="5" s="1"/>
  <c r="G54" i="5" s="1"/>
  <c r="C55" i="5" s="1"/>
  <c r="D55" i="5" l="1"/>
  <c r="E55" i="5" s="1"/>
  <c r="G55" i="5" s="1"/>
  <c r="C56" i="5" s="1"/>
  <c r="D56" i="5" l="1"/>
  <c r="E56" i="5" s="1"/>
  <c r="G56" i="5" s="1"/>
  <c r="C57" i="5" s="1"/>
  <c r="D57" i="5" l="1"/>
  <c r="E57" i="5" l="1"/>
  <c r="F26" i="9"/>
  <c r="E37" i="7" s="1"/>
  <c r="E39" i="7" l="1"/>
  <c r="F106" i="10" s="1"/>
  <c r="E50" i="7"/>
  <c r="F109" i="10"/>
  <c r="F25" i="9"/>
  <c r="G57" i="5"/>
  <c r="F110" i="10" l="1"/>
  <c r="E28" i="8"/>
  <c r="E31" i="8" s="1"/>
  <c r="C58" i="5"/>
  <c r="F112" i="10"/>
  <c r="E91" i="4"/>
  <c r="E94" i="4" l="1"/>
  <c r="E95" i="4" s="1"/>
  <c r="E40" i="7" s="1"/>
  <c r="F114" i="10"/>
  <c r="D58" i="5"/>
  <c r="F28" i="9" l="1"/>
  <c r="F38" i="9" s="1"/>
  <c r="F40" i="9" s="1"/>
  <c r="E41" i="7"/>
  <c r="F39" i="9" s="1"/>
  <c r="E58" i="5"/>
  <c r="F78" i="10" l="1"/>
  <c r="G9" i="10"/>
  <c r="G14" i="10" s="1"/>
  <c r="G15" i="10" s="1"/>
  <c r="F30" i="9"/>
  <c r="F31" i="9" s="1"/>
  <c r="F33" i="9" s="1"/>
  <c r="E8" i="8" s="1"/>
  <c r="E11" i="8" s="1"/>
  <c r="E20" i="8" s="1"/>
  <c r="E43" i="7"/>
  <c r="G92" i="10"/>
  <c r="G95" i="10" s="1"/>
  <c r="G96" i="10" s="1"/>
  <c r="E37" i="8"/>
  <c r="E39" i="8" s="1"/>
  <c r="E41" i="8" s="1"/>
  <c r="E43" i="8" s="1"/>
  <c r="F55" i="10"/>
  <c r="F60" i="10" s="1"/>
  <c r="F64" i="10" s="1"/>
  <c r="G58" i="5"/>
  <c r="C59" i="5" s="1"/>
  <c r="F36" i="8" l="1"/>
  <c r="G32" i="9"/>
  <c r="E45" i="8"/>
  <c r="D59" i="5"/>
  <c r="E59" i="5" l="1"/>
  <c r="G59" i="5" l="1"/>
  <c r="C60" i="5" s="1"/>
  <c r="D60" i="5" l="1"/>
  <c r="E60" i="5" l="1"/>
  <c r="G60" i="5" l="1"/>
  <c r="C61" i="5" s="1"/>
  <c r="D61" i="5" l="1"/>
  <c r="E61" i="5" l="1"/>
  <c r="G61" i="5" l="1"/>
  <c r="C62" i="5" s="1"/>
  <c r="D62" i="5" l="1"/>
  <c r="E62" i="5" l="1"/>
  <c r="G62" i="5" l="1"/>
  <c r="C63" i="5" s="1"/>
  <c r="D63" i="5" l="1"/>
  <c r="E63" i="5" s="1"/>
  <c r="G63" i="5" s="1"/>
  <c r="C64" i="5" s="1"/>
  <c r="D64" i="5" l="1"/>
  <c r="E64" i="5" s="1"/>
  <c r="G64" i="5" s="1"/>
  <c r="C65" i="5" s="1"/>
  <c r="D65" i="5" l="1"/>
  <c r="E65" i="5" s="1"/>
  <c r="G65" i="5" s="1"/>
  <c r="C66" i="5" s="1"/>
  <c r="D66" i="5" l="1"/>
  <c r="E66" i="5" s="1"/>
  <c r="G66" i="5" s="1"/>
  <c r="C67" i="5" s="1"/>
  <c r="D67" i="5" l="1"/>
  <c r="E67" i="5" s="1"/>
  <c r="G67" i="5" s="1"/>
  <c r="C68" i="5" s="1"/>
  <c r="D68" i="5" l="1"/>
  <c r="E68" i="5" s="1"/>
  <c r="G68" i="5" s="1"/>
  <c r="C69" i="5" s="1"/>
  <c r="D69" i="5" l="1"/>
  <c r="E69" i="5" l="1"/>
  <c r="G26" i="9"/>
  <c r="F37" i="7" s="1"/>
  <c r="F39" i="7" l="1"/>
  <c r="G106" i="10" s="1"/>
  <c r="F50" i="7"/>
  <c r="G109" i="10"/>
  <c r="G25" i="9"/>
  <c r="G69" i="5"/>
  <c r="G110" i="10" l="1"/>
  <c r="C70" i="5"/>
  <c r="F28" i="8"/>
  <c r="F31" i="8" s="1"/>
  <c r="G112" i="10"/>
  <c r="F91" i="4"/>
  <c r="F94" i="4" l="1"/>
  <c r="F95" i="4" s="1"/>
  <c r="F40" i="7" s="1"/>
  <c r="G28" i="9" s="1"/>
  <c r="G114" i="10"/>
  <c r="D70" i="5"/>
  <c r="F41" i="7" l="1"/>
  <c r="G39" i="9" s="1"/>
  <c r="G30" i="9"/>
  <c r="G31" i="9" s="1"/>
  <c r="G33" i="9" s="1"/>
  <c r="H32" i="9" s="1"/>
  <c r="G38" i="9"/>
  <c r="G40" i="9" s="1"/>
  <c r="E70" i="5"/>
  <c r="H92" i="10" l="1"/>
  <c r="H95" i="10" s="1"/>
  <c r="G55" i="10"/>
  <c r="G60" i="10" s="1"/>
  <c r="G64" i="10" s="1"/>
  <c r="H9" i="10"/>
  <c r="H14" i="10" s="1"/>
  <c r="H15" i="10" s="1"/>
  <c r="F43" i="7"/>
  <c r="F37" i="8"/>
  <c r="F39" i="8" s="1"/>
  <c r="F41" i="8" s="1"/>
  <c r="F43" i="8" s="1"/>
  <c r="G78" i="10"/>
  <c r="F8" i="8"/>
  <c r="F11" i="8" s="1"/>
  <c r="F20" i="8" s="1"/>
  <c r="G70" i="5"/>
  <c r="C71" i="5" s="1"/>
  <c r="H96" i="10" l="1"/>
  <c r="G36" i="8"/>
  <c r="F45" i="8"/>
  <c r="D71" i="5"/>
  <c r="E71" i="5" l="1"/>
  <c r="G71" i="5" l="1"/>
  <c r="C72" i="5" s="1"/>
  <c r="D72" i="5" l="1"/>
  <c r="E72" i="5" l="1"/>
  <c r="G72" i="5" l="1"/>
  <c r="C73" i="5" s="1"/>
  <c r="D73" i="5" l="1"/>
  <c r="E73" i="5" l="1"/>
  <c r="G73" i="5" l="1"/>
  <c r="C74" i="5" s="1"/>
  <c r="D74" i="5" l="1"/>
  <c r="E74" i="5" l="1"/>
  <c r="G74" i="5" l="1"/>
  <c r="C75" i="5" s="1"/>
  <c r="D75" i="5" l="1"/>
  <c r="E75" i="5" s="1"/>
  <c r="G75" i="5" s="1"/>
  <c r="C76" i="5" s="1"/>
  <c r="D76" i="5" l="1"/>
  <c r="E76" i="5" s="1"/>
  <c r="G76" i="5" s="1"/>
  <c r="C77" i="5" s="1"/>
  <c r="D77" i="5" l="1"/>
  <c r="E77" i="5" s="1"/>
  <c r="G77" i="5" s="1"/>
  <c r="C78" i="5" s="1"/>
  <c r="D78" i="5" l="1"/>
  <c r="E78" i="5" s="1"/>
  <c r="G78" i="5" s="1"/>
  <c r="C79" i="5" s="1"/>
  <c r="D79" i="5" l="1"/>
  <c r="E79" i="5" s="1"/>
  <c r="G79" i="5" s="1"/>
  <c r="C80" i="5" s="1"/>
  <c r="D80" i="5" l="1"/>
  <c r="E80" i="5" s="1"/>
  <c r="G80" i="5" s="1"/>
  <c r="C81" i="5" s="1"/>
  <c r="D81" i="5" l="1"/>
  <c r="E81" i="5" l="1"/>
  <c r="H26" i="9"/>
  <c r="G37" i="7" s="1"/>
  <c r="G39" i="7" l="1"/>
  <c r="H106" i="10" s="1"/>
  <c r="G50" i="7"/>
  <c r="H109" i="10"/>
  <c r="H25" i="9"/>
  <c r="G81" i="5"/>
  <c r="H110" i="10" l="1"/>
  <c r="G28" i="8"/>
  <c r="G31" i="8" s="1"/>
  <c r="C82" i="5"/>
  <c r="H112" i="10"/>
  <c r="G91" i="4"/>
  <c r="G94" i="4" l="1"/>
  <c r="G95" i="4" s="1"/>
  <c r="G40" i="7" s="1"/>
  <c r="H28" i="9" s="1"/>
  <c r="H114" i="10"/>
  <c r="D82" i="5"/>
  <c r="G41" i="7" l="1"/>
  <c r="H39" i="9" s="1"/>
  <c r="H30" i="9"/>
  <c r="H31" i="9" s="1"/>
  <c r="H33" i="9" s="1"/>
  <c r="I32" i="9" s="1"/>
  <c r="H38" i="9"/>
  <c r="H40" i="9" s="1"/>
  <c r="E82" i="5"/>
  <c r="H55" i="10" l="1"/>
  <c r="H60" i="10" s="1"/>
  <c r="H64" i="10" s="1"/>
  <c r="G43" i="7"/>
  <c r="G37" i="8"/>
  <c r="G39" i="8" s="1"/>
  <c r="G41" i="8" s="1"/>
  <c r="G43" i="8" s="1"/>
  <c r="I9" i="10"/>
  <c r="I14" i="10" s="1"/>
  <c r="I15" i="10" s="1"/>
  <c r="I92" i="10"/>
  <c r="I95" i="10" s="1"/>
  <c r="H78" i="10"/>
  <c r="G8" i="8"/>
  <c r="G11" i="8" s="1"/>
  <c r="G20" i="8" s="1"/>
  <c r="G82" i="5"/>
  <c r="C83" i="5" s="1"/>
  <c r="I96" i="10" l="1"/>
  <c r="D98" i="10"/>
  <c r="D32" i="2" s="1"/>
  <c r="H36" i="8"/>
  <c r="G45" i="8"/>
  <c r="D83" i="5"/>
  <c r="E83" i="5" l="1"/>
  <c r="G83" i="5" l="1"/>
  <c r="C84" i="5" s="1"/>
  <c r="D84" i="5" l="1"/>
  <c r="E84" i="5" l="1"/>
  <c r="G84" i="5" l="1"/>
  <c r="C85" i="5" s="1"/>
  <c r="D85" i="5" l="1"/>
  <c r="E85" i="5" l="1"/>
  <c r="G85" i="5" l="1"/>
  <c r="C86" i="5" s="1"/>
  <c r="D86" i="5" l="1"/>
  <c r="E86" i="5" l="1"/>
  <c r="G86" i="5" l="1"/>
  <c r="C87" i="5" s="1"/>
  <c r="D87" i="5" l="1"/>
  <c r="E87" i="5" s="1"/>
  <c r="G87" i="5" s="1"/>
  <c r="C88" i="5" s="1"/>
  <c r="D88" i="5" l="1"/>
  <c r="E88" i="5" s="1"/>
  <c r="G88" i="5" s="1"/>
  <c r="C89" i="5" s="1"/>
  <c r="D89" i="5" l="1"/>
  <c r="E89" i="5" s="1"/>
  <c r="G89" i="5" s="1"/>
  <c r="C90" i="5" s="1"/>
  <c r="D90" i="5" l="1"/>
  <c r="E90" i="5" s="1"/>
  <c r="G90" i="5" s="1"/>
  <c r="C91" i="5" s="1"/>
  <c r="D91" i="5" l="1"/>
  <c r="E91" i="5" s="1"/>
  <c r="G91" i="5" s="1"/>
  <c r="C92" i="5" s="1"/>
  <c r="D92" i="5" l="1"/>
  <c r="E92" i="5" s="1"/>
  <c r="G92" i="5" s="1"/>
  <c r="C93" i="5" s="1"/>
  <c r="D93" i="5" l="1"/>
  <c r="E93" i="5" l="1"/>
  <c r="D94" i="5"/>
  <c r="I26" i="9"/>
  <c r="H37" i="7" s="1"/>
  <c r="H39" i="7" l="1"/>
  <c r="I106" i="10" s="1"/>
  <c r="H50" i="7"/>
  <c r="I109" i="10"/>
  <c r="E94" i="5"/>
  <c r="I25" i="9"/>
  <c r="G93" i="5"/>
  <c r="I110" i="10" l="1"/>
  <c r="I112" i="10"/>
  <c r="H91" i="4"/>
  <c r="H94" i="4" l="1"/>
  <c r="H95" i="4" s="1"/>
  <c r="H40" i="7" s="1"/>
  <c r="H41" i="7" s="1"/>
  <c r="I39" i="9" s="1"/>
  <c r="I114" i="10"/>
  <c r="C116" i="10" s="1"/>
  <c r="D33" i="2" s="1"/>
  <c r="I28" i="9" l="1"/>
  <c r="J92" i="10"/>
  <c r="J95" i="10" s="1"/>
  <c r="J96" i="10" s="1"/>
  <c r="J9" i="10"/>
  <c r="I78" i="10"/>
  <c r="C80" i="10" s="1"/>
  <c r="C83" i="10" s="1"/>
  <c r="D29" i="2" s="1"/>
  <c r="H37" i="8"/>
  <c r="H39" i="8" s="1"/>
  <c r="H41" i="8" s="1"/>
  <c r="H43" i="8" s="1"/>
  <c r="I55" i="10"/>
  <c r="H43" i="7"/>
  <c r="I60" i="10" l="1"/>
  <c r="I64" i="10" s="1"/>
  <c r="C66" i="10" s="1"/>
  <c r="J14" i="10"/>
  <c r="J15" i="10" s="1"/>
  <c r="C16" i="10" s="1"/>
  <c r="I30" i="9"/>
  <c r="I31" i="9" s="1"/>
  <c r="I33" i="9" s="1"/>
  <c r="H8" i="8" s="1"/>
  <c r="H11" i="8" s="1"/>
  <c r="H20" i="8" s="1"/>
  <c r="H45" i="8" s="1"/>
  <c r="I38" i="9"/>
  <c r="I40" i="9" s="1"/>
  <c r="D18" i="10" l="1"/>
  <c r="D19" i="10" s="1"/>
  <c r="C70" i="10"/>
  <c r="D31" i="2" s="1"/>
  <c r="D30" i="2" l="1"/>
  <c r="E18" i="10"/>
  <c r="E19" i="10" s="1"/>
  <c r="F18" i="10" l="1"/>
  <c r="F19" i="10" s="1"/>
  <c r="G18" i="10" l="1"/>
  <c r="G19" i="10" s="1"/>
  <c r="H18" i="10" l="1"/>
  <c r="H19" i="10" s="1"/>
  <c r="I18" i="10" l="1"/>
  <c r="I19" i="10" s="1"/>
  <c r="J18" i="10" l="1"/>
  <c r="J19" i="10" l="1"/>
  <c r="D20" i="10" s="1"/>
  <c r="F23" i="10" l="1"/>
</calcChain>
</file>

<file path=xl/sharedStrings.xml><?xml version="1.0" encoding="utf-8"?>
<sst xmlns="http://schemas.openxmlformats.org/spreadsheetml/2006/main" count="1450" uniqueCount="743">
  <si>
    <t>Note for users</t>
  </si>
  <si>
    <t xml:space="preserve">Draft Business Plan Financial Calculator </t>
  </si>
  <si>
    <t xml:space="preserve">1.0 About the calculator </t>
  </si>
  <si>
    <r>
      <rPr>
        <sz val="11"/>
        <color rgb="FF000000"/>
        <rFont val="Calibri"/>
        <family val="2"/>
      </rPr>
      <t xml:space="preserve">The business plan financial calculator will be the tool to generate the financial projection of the business plan based on the certain data inputs. </t>
    </r>
    <r>
      <rPr>
        <b/>
        <sz val="11"/>
        <color rgb="FF000000"/>
        <rFont val="Calibri"/>
        <family val="2"/>
      </rPr>
      <t xml:space="preserve">It will be the tool which can be easily used by any professional who understand the basic accounting. The business plan financial calculator will generate following statements automatically based on certain data inputs:
</t>
    </r>
    <r>
      <rPr>
        <sz val="11"/>
        <color rgb="FF000000"/>
        <rFont val="Calibri"/>
        <family val="2"/>
      </rPr>
      <t>1. Profit and Loss Statement
2. Cash Flow Statement
3. Balance Sheet
4</t>
    </r>
    <r>
      <rPr>
        <sz val="11"/>
        <color rgb="FFC00000"/>
        <rFont val="Calibri"/>
        <family val="2"/>
      </rPr>
      <t xml:space="preserve">. </t>
    </r>
    <r>
      <rPr>
        <sz val="11"/>
        <color rgb="FF000000"/>
        <rFont val="Calibri"/>
        <family val="2"/>
      </rPr>
      <t xml:space="preserve">Depreciation, amortization and tax calculation </t>
    </r>
    <r>
      <rPr>
        <sz val="11"/>
        <color rgb="FF000000"/>
        <rFont val="Calibri"/>
        <family val="2"/>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rgb="FF000000"/>
        <rFont val="Calibri"/>
        <family val="2"/>
      </rPr>
      <t xml:space="preserve">
The above ratios will help  decision makers for approving the business plan / Full Project Report.</t>
    </r>
  </si>
  <si>
    <t xml:space="preserve">2.0 Features </t>
  </si>
  <si>
    <r>
      <rPr>
        <sz val="11"/>
        <color rgb="FF000000"/>
        <rFont val="Calibri"/>
        <family val="2"/>
      </rP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rPr>
      <t xml:space="preserve">. </t>
    </r>
  </si>
  <si>
    <t xml:space="preserve">3.0 Preparatory work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</si>
  <si>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</si>
  <si>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 xml:space="preserve">4.0 Colour codes used </t>
  </si>
  <si>
    <t>Colour code</t>
  </si>
  <si>
    <t>Description</t>
  </si>
  <si>
    <t>Need to change/Place Values Manually</t>
  </si>
  <si>
    <t>Need to change figures subject to</t>
  </si>
  <si>
    <t xml:space="preserve">5.0 Guidance  note for using calculator </t>
  </si>
  <si>
    <t>Steps</t>
  </si>
  <si>
    <t xml:space="preserve">Sheet name </t>
  </si>
  <si>
    <t>Process</t>
  </si>
  <si>
    <t>Sheet No</t>
  </si>
  <si>
    <t>Remark</t>
  </si>
  <si>
    <t>A</t>
  </si>
  <si>
    <t xml:space="preserve"> Sheet in which need to enter data</t>
  </si>
  <si>
    <t>Step-1</t>
  </si>
  <si>
    <t>Grain production details &amp; or F &amp; V production details  (Marketable surplus)</t>
  </si>
  <si>
    <t xml:space="preserve">Please fill data in yellow colour cells i.e. members no, non-members , average area etc. </t>
  </si>
  <si>
    <t>Sheet No. 10 for grain and 11 for F &amp; V</t>
  </si>
  <si>
    <t>Step-2</t>
  </si>
  <si>
    <t xml:space="preserve">CAPEX Details </t>
  </si>
  <si>
    <t xml:space="preserve">Kindly fill yellow cells by using rates mentioned in estimates of civil structures and quotation's of machineries and equipment's </t>
  </si>
  <si>
    <t>Sheet No. 2</t>
  </si>
  <si>
    <t>Step-3</t>
  </si>
  <si>
    <t>Project cost and Means of finance with financial indicators</t>
  </si>
  <si>
    <t>Please add bank loan per cent if applicable other wise put zero</t>
  </si>
  <si>
    <t>Sheet No. 1</t>
  </si>
  <si>
    <t xml:space="preserve">Generate automatically </t>
  </si>
  <si>
    <t>Step-4</t>
  </si>
  <si>
    <t xml:space="preserve">Business activity wise revenue, expenditure  and profit calculation </t>
  </si>
  <si>
    <t xml:space="preserve">Facility-1 / Business activity -Trading </t>
  </si>
  <si>
    <t xml:space="preserve">Please fill necessary details in yellow cells  for calculating revenue and expenditure of identified business activities only. </t>
  </si>
  <si>
    <t>Sheet No. 12</t>
  </si>
  <si>
    <t xml:space="preserve">Facility-2 / Business activity - Processing (Grain, pulses, oilseed) </t>
  </si>
  <si>
    <t>Sheet No. 13</t>
  </si>
  <si>
    <t>Facility-3 Business activity -Warehouse</t>
  </si>
  <si>
    <t>Sheet No. 14</t>
  </si>
  <si>
    <t xml:space="preserve">Facility-4 Business activity -Custom hiring </t>
  </si>
  <si>
    <t>Sheet No. 15</t>
  </si>
  <si>
    <t>Facility-5 Business activity - Agri. Input</t>
  </si>
  <si>
    <t>Sheet No. 16</t>
  </si>
  <si>
    <t>Facility-6 Business activity -Processing  (Horti. Produce)</t>
  </si>
  <si>
    <t>Sheet No. 17</t>
  </si>
  <si>
    <t>Step-5</t>
  </si>
  <si>
    <t>Other expenditure and taxes</t>
  </si>
  <si>
    <t>Please add staff salary and other details in Yellow cell (in 3.1 table only)</t>
  </si>
  <si>
    <t>Sheet no.3 (Ref. 3.1 table only)</t>
  </si>
  <si>
    <t>Step-6</t>
  </si>
  <si>
    <t xml:space="preserve">TL repayment schedule </t>
  </si>
  <si>
    <t>Please add interest rate, tenure and Moratorium Period ( In Month) in green cells</t>
  </si>
  <si>
    <t>Sheet No. 4</t>
  </si>
  <si>
    <t>Step-7</t>
  </si>
  <si>
    <t xml:space="preserve">Closing stock and working capital </t>
  </si>
  <si>
    <t>Please add necessary details in yellow and green cells</t>
  </si>
  <si>
    <t>Sheet No. 5</t>
  </si>
  <si>
    <t>B</t>
  </si>
  <si>
    <t xml:space="preserve">Auto generating sheets  (No need to enter any data) </t>
  </si>
  <si>
    <t>B1</t>
  </si>
  <si>
    <t>Profit and Loss Statement</t>
  </si>
  <si>
    <t>Sheet No. 6</t>
  </si>
  <si>
    <t>B2</t>
  </si>
  <si>
    <t>Cash Flow Statement</t>
  </si>
  <si>
    <t>Sheet No. 7</t>
  </si>
  <si>
    <t>B3</t>
  </si>
  <si>
    <t>Balance Sheet</t>
  </si>
  <si>
    <t>Sheet No. 8</t>
  </si>
  <si>
    <t>B4</t>
  </si>
  <si>
    <t>Financial indicators  (IRR, BEP,NPV, ROI, Pay back period, DSCR, sensitivity analysis )</t>
  </si>
  <si>
    <t>Sheet No.9</t>
  </si>
  <si>
    <t>B5</t>
  </si>
  <si>
    <t xml:space="preserve">Depreciation, amortization and tax calculation </t>
  </si>
  <si>
    <t>Sheet No. 3 (Ref. 3.2 &amp; 3.3)</t>
  </si>
  <si>
    <t>Step-8</t>
  </si>
  <si>
    <t xml:space="preserve">Copy relevant tables in word file of FPP </t>
  </si>
  <si>
    <t>1.1 Total Project Cost</t>
  </si>
  <si>
    <t>Sr. No.</t>
  </si>
  <si>
    <t>Particular</t>
  </si>
  <si>
    <t>Amount (Rs.)</t>
  </si>
  <si>
    <t xml:space="preserve">Grant (%) </t>
  </si>
  <si>
    <t>Grant Amount (Rs.)</t>
  </si>
  <si>
    <t>pre-operative</t>
  </si>
  <si>
    <t>Working Capital</t>
  </si>
  <si>
    <t>Total</t>
  </si>
  <si>
    <t>Total Project Costs means  the costs incurred or to be incurred by a FPC in connection with or incidental to the Construction and acquisition of assets including preoprtaive expenditure , design, construction and Working Capital</t>
  </si>
  <si>
    <t>1.2 Means of Finance</t>
  </si>
  <si>
    <t>Bank Loan (% )</t>
  </si>
  <si>
    <t xml:space="preserve">Govt. Grant under SMART Project </t>
  </si>
  <si>
    <t>Bank Finance - Long Term Loan</t>
  </si>
  <si>
    <t>Own Contribution</t>
  </si>
  <si>
    <t>This sheet provide details of how total project cost will raised</t>
  </si>
  <si>
    <t>1.3 Financial Indicators</t>
  </si>
  <si>
    <t>Financial ratio</t>
  </si>
  <si>
    <t>Estimated</t>
  </si>
  <si>
    <t>Result</t>
  </si>
  <si>
    <t>Permissible limit</t>
  </si>
  <si>
    <t>Break Even Point (BEP)</t>
  </si>
  <si>
    <t>Project Viable</t>
  </si>
  <si>
    <t xml:space="preserve">BEP shall be less than 60% </t>
  </si>
  <si>
    <t>&lt;60%</t>
  </si>
  <si>
    <t>Avg. Return on Capital Employed Average (ROCE)</t>
  </si>
  <si>
    <t xml:space="preserve">RoCE  for the project shall be more than 20% </t>
  </si>
  <si>
    <t>&gt;20%</t>
  </si>
  <si>
    <t>Internal Rate of Return (IRR)</t>
  </si>
  <si>
    <t xml:space="preserve">The project internal rate of return shall be more than 12% </t>
  </si>
  <si>
    <t>&gt;12%</t>
  </si>
  <si>
    <t>Net present value (at a discount rate of 10 per cent)</t>
  </si>
  <si>
    <t>NPV is high and positive at a conservative project life of 7 years</t>
  </si>
  <si>
    <t xml:space="preserve">With a discount rate of 10% and a span of 7 operational years, the NPV should be positive </t>
  </si>
  <si>
    <t>Positive</t>
  </si>
  <si>
    <t>Payback period</t>
  </si>
  <si>
    <t xml:space="preserve">The Pack Back Period (Project/ Equity) shall be less than 7 years </t>
  </si>
  <si>
    <t>&lt;7 years</t>
  </si>
  <si>
    <t>Debt Service Coverage Ratio (DSCR)</t>
  </si>
  <si>
    <t>DSCR shall be more than 2 for better performing project.</t>
  </si>
  <si>
    <t xml:space="preserve">           &gt;2</t>
  </si>
  <si>
    <t>Land and Building</t>
  </si>
  <si>
    <t>Unit</t>
  </si>
  <si>
    <t>No. of Unit</t>
  </si>
  <si>
    <t>Rate per unit</t>
  </si>
  <si>
    <t>Land</t>
  </si>
  <si>
    <t>Sq. ft.</t>
  </si>
  <si>
    <t>Lease</t>
  </si>
  <si>
    <t>This Sheet provide details of land and various construction, including area, rate per unit and total amount</t>
  </si>
  <si>
    <t>Machinery and Equipment</t>
  </si>
  <si>
    <t>Capacity</t>
  </si>
  <si>
    <t>No. Required</t>
  </si>
  <si>
    <t>Rate</t>
  </si>
  <si>
    <t>Total HP</t>
  </si>
  <si>
    <t>Custom Hiring</t>
  </si>
  <si>
    <t>Subtotal</t>
  </si>
  <si>
    <t>Dal Mill Unit</t>
  </si>
  <si>
    <t>C</t>
  </si>
  <si>
    <t>Cleaning &amp; Grading</t>
  </si>
  <si>
    <t>D</t>
  </si>
  <si>
    <t>This Sheet provide details of Plant &amp; Machinary, including Capacity, rate per machaine, Power Consuption and total amount</t>
  </si>
  <si>
    <t>Furniture and Fixture</t>
  </si>
  <si>
    <t>This Sheet provide details of furniture and fixture, no.of Quantity, rate per unit and total amount</t>
  </si>
  <si>
    <t>IT &amp; It Infrastracture</t>
  </si>
  <si>
    <t>Transport vehical  (Refer van and other)</t>
  </si>
  <si>
    <t>This Sheet provide details of vehicles, no.of vehicle, rate per vehicle and total amount</t>
  </si>
  <si>
    <t>Preliminary Expenses</t>
  </si>
  <si>
    <t>Amount  (Rs.)</t>
  </si>
  <si>
    <t>Preliminary expenses are considered as prior expenses before the beginning of business or Projects</t>
  </si>
  <si>
    <t>3.1 Schedule of General Admin Expenses</t>
  </si>
  <si>
    <t>Particulars</t>
  </si>
  <si>
    <t>No.of Unit</t>
  </si>
  <si>
    <t>Unit Cost</t>
  </si>
  <si>
    <t>Y1</t>
  </si>
  <si>
    <t>Y2</t>
  </si>
  <si>
    <t>Y3</t>
  </si>
  <si>
    <t>Y4</t>
  </si>
  <si>
    <t>Y5</t>
  </si>
  <si>
    <t>Y6</t>
  </si>
  <si>
    <t>Y7</t>
  </si>
  <si>
    <t xml:space="preserve"> Manager</t>
  </si>
  <si>
    <t>No.</t>
  </si>
  <si>
    <t>Accountant</t>
  </si>
  <si>
    <t>Watchmen</t>
  </si>
  <si>
    <t>Telephone and internet Exp</t>
  </si>
  <si>
    <t>Months</t>
  </si>
  <si>
    <t>Office Electricity Exp</t>
  </si>
  <si>
    <t>Printing &amp; Stationary</t>
  </si>
  <si>
    <t>Land Lease</t>
  </si>
  <si>
    <t>Misc.expenses</t>
  </si>
  <si>
    <t>Audit and Legal Compliences expenses</t>
  </si>
  <si>
    <t>Lumsum</t>
  </si>
  <si>
    <t xml:space="preserve">         Total Admin Expense</t>
  </si>
  <si>
    <t>3.2 Depreciation</t>
  </si>
  <si>
    <t>As per companies Act</t>
  </si>
  <si>
    <t>As per IT Act</t>
  </si>
  <si>
    <t>Assets</t>
  </si>
  <si>
    <t>Building</t>
  </si>
  <si>
    <t>Asset Value</t>
  </si>
  <si>
    <t>Depreciation</t>
  </si>
  <si>
    <t>Accumulated Depreciation</t>
  </si>
  <si>
    <t>Net Fixed Assets</t>
  </si>
  <si>
    <t>Plant and Machinary</t>
  </si>
  <si>
    <t>Furniture and Electrification</t>
  </si>
  <si>
    <t>Vehical</t>
  </si>
  <si>
    <t>IT Infrastracture</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</si>
  <si>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</si>
  <si>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</si>
  <si>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</si>
  <si>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</si>
  <si>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</si>
  <si>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</si>
  <si>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</si>
  <si>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</si>
  <si>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</si>
  <si>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</si>
  <si>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Vehicle</t>
  </si>
  <si>
    <t>Plant and machinery</t>
  </si>
  <si>
    <t>Pre-operative or pre-incubation</t>
  </si>
  <si>
    <t>3.3 Amortization Schedule</t>
  </si>
  <si>
    <t>Years</t>
  </si>
  <si>
    <t>Total Value</t>
  </si>
  <si>
    <t>3.4 Tax Schedule</t>
  </si>
  <si>
    <t>EBT</t>
  </si>
  <si>
    <t>Add Depreciation as per companies Act</t>
  </si>
  <si>
    <t>Less Depreciation as per IT Act</t>
  </si>
  <si>
    <t>Taxable Income</t>
  </si>
  <si>
    <t>Provision of Taxes</t>
  </si>
  <si>
    <t>Maximum Tax rate</t>
  </si>
  <si>
    <t>This Sheet refer for provision of tax calculation</t>
  </si>
  <si>
    <t xml:space="preserve">4.1 Repayment Schedule </t>
  </si>
  <si>
    <t>Loan Amount (Rs)</t>
  </si>
  <si>
    <t>Interest rate /PA</t>
  </si>
  <si>
    <t>Loan Tenure in years</t>
  </si>
  <si>
    <t>Moratorium Period ( In Months)</t>
  </si>
  <si>
    <t>EMI</t>
  </si>
  <si>
    <t>Year</t>
  </si>
  <si>
    <t>Particluars</t>
  </si>
  <si>
    <t>Opening Balance</t>
  </si>
  <si>
    <t xml:space="preserve">Interest </t>
  </si>
  <si>
    <t>Pricipal Repayment</t>
  </si>
  <si>
    <t>Closing Outstanding</t>
  </si>
  <si>
    <t>Year 1</t>
  </si>
  <si>
    <t>Month 1</t>
  </si>
  <si>
    <t>Month 2</t>
  </si>
  <si>
    <t>Month 3</t>
  </si>
  <si>
    <t>Month 4</t>
  </si>
  <si>
    <t>Month 5</t>
  </si>
  <si>
    <t>Month 6</t>
  </si>
  <si>
    <t>Month 7</t>
  </si>
  <si>
    <t>Month 8</t>
  </si>
  <si>
    <t>Month 9</t>
  </si>
  <si>
    <t>Month 10</t>
  </si>
  <si>
    <t>Month 11</t>
  </si>
  <si>
    <t>Month 12</t>
  </si>
  <si>
    <t>Year 2</t>
  </si>
  <si>
    <t>Month 13</t>
  </si>
  <si>
    <t>Month 14</t>
  </si>
  <si>
    <t>Month 15</t>
  </si>
  <si>
    <t>Month 16</t>
  </si>
  <si>
    <t>Month 17</t>
  </si>
  <si>
    <t>Month 18</t>
  </si>
  <si>
    <t>Month 19</t>
  </si>
  <si>
    <t>Month 20</t>
  </si>
  <si>
    <t>Month 21</t>
  </si>
  <si>
    <t>Month 22</t>
  </si>
  <si>
    <t>Month 23</t>
  </si>
  <si>
    <t>Month 24</t>
  </si>
  <si>
    <t>Year 3</t>
  </si>
  <si>
    <t>Month 25</t>
  </si>
  <si>
    <t>Month 26</t>
  </si>
  <si>
    <t>Month 27</t>
  </si>
  <si>
    <t>Month 28</t>
  </si>
  <si>
    <t>Month 29</t>
  </si>
  <si>
    <t>Month 30</t>
  </si>
  <si>
    <t>Month 31</t>
  </si>
  <si>
    <t>Month 32</t>
  </si>
  <si>
    <t>Month 33</t>
  </si>
  <si>
    <t>Month 34</t>
  </si>
  <si>
    <t>Month 35</t>
  </si>
  <si>
    <t>Month 36</t>
  </si>
  <si>
    <t>Year 4</t>
  </si>
  <si>
    <t>Month 37</t>
  </si>
  <si>
    <t>Month 38</t>
  </si>
  <si>
    <t>Month 39</t>
  </si>
  <si>
    <t>Month 40</t>
  </si>
  <si>
    <t>Month 41</t>
  </si>
  <si>
    <t>Month 42</t>
  </si>
  <si>
    <t>Month 43</t>
  </si>
  <si>
    <t>Month 44</t>
  </si>
  <si>
    <t>Month 45</t>
  </si>
  <si>
    <t>Month 46</t>
  </si>
  <si>
    <t>Month 47</t>
  </si>
  <si>
    <t>Month 48</t>
  </si>
  <si>
    <t>Year 5</t>
  </si>
  <si>
    <t>Month 49</t>
  </si>
  <si>
    <t>Month 50</t>
  </si>
  <si>
    <t>Month 51</t>
  </si>
  <si>
    <t>Month 52</t>
  </si>
  <si>
    <t>Month 53</t>
  </si>
  <si>
    <t>Month 54</t>
  </si>
  <si>
    <t>Month 55</t>
  </si>
  <si>
    <t>Month 56</t>
  </si>
  <si>
    <t>Month 57</t>
  </si>
  <si>
    <t>Month 58</t>
  </si>
  <si>
    <t>Month 59</t>
  </si>
  <si>
    <t>Month 60</t>
  </si>
  <si>
    <t>Year 6</t>
  </si>
  <si>
    <t>Month 61</t>
  </si>
  <si>
    <t>Month 62</t>
  </si>
  <si>
    <t>Month 63</t>
  </si>
  <si>
    <t>Month 64</t>
  </si>
  <si>
    <t>Month 65</t>
  </si>
  <si>
    <t>Month 66</t>
  </si>
  <si>
    <t>Month 67</t>
  </si>
  <si>
    <t>Month 68</t>
  </si>
  <si>
    <t>Month 69</t>
  </si>
  <si>
    <t>Month 70</t>
  </si>
  <si>
    <t>Month 71</t>
  </si>
  <si>
    <t>Month 72</t>
  </si>
  <si>
    <t>Year 7</t>
  </si>
  <si>
    <t>Month 73</t>
  </si>
  <si>
    <t>Month 74</t>
  </si>
  <si>
    <t>Month 75</t>
  </si>
  <si>
    <t>Month 76</t>
  </si>
  <si>
    <t>Month 77</t>
  </si>
  <si>
    <t>Month 78</t>
  </si>
  <si>
    <t>Month 79</t>
  </si>
  <si>
    <t>Month 80</t>
  </si>
  <si>
    <t>Month 81</t>
  </si>
  <si>
    <t>Month 82</t>
  </si>
  <si>
    <t>Month 83</t>
  </si>
  <si>
    <t>Month 84</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</si>
  <si>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</si>
  <si>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Assumption:</t>
  </si>
  <si>
    <t>Moratorium Period 6 Months</t>
  </si>
  <si>
    <t>5.1 Closing and Opening Stock Calculation</t>
  </si>
  <si>
    <t>Opening Stock</t>
  </si>
  <si>
    <t>Grain Processing - Dal Mill</t>
  </si>
  <si>
    <t>F &amp; V Processing - Pomegrantes</t>
  </si>
  <si>
    <t>Agri Input</t>
  </si>
  <si>
    <t>Cost Of Production/Quintals</t>
  </si>
  <si>
    <t>Trading</t>
  </si>
  <si>
    <t>Bengal Gram</t>
  </si>
  <si>
    <t>Red Gram</t>
  </si>
  <si>
    <t>Black Gram</t>
  </si>
  <si>
    <t>Green Gram</t>
  </si>
  <si>
    <t>Pomegranate</t>
  </si>
  <si>
    <t xml:space="preserve">Grain Processing </t>
  </si>
  <si>
    <t>Purachse Price</t>
  </si>
  <si>
    <t>Purchase Price</t>
  </si>
  <si>
    <t>Closing Stock</t>
  </si>
  <si>
    <t>Total Cost of Production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</si>
  <si>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</si>
  <si>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Closing stock of each facility is 5%</t>
  </si>
  <si>
    <t>5.2 Working Capital Calculation</t>
  </si>
  <si>
    <t>Duration (In days)</t>
  </si>
  <si>
    <t>Accounts Receivables (Debtors)</t>
  </si>
  <si>
    <t>Dal Mill</t>
  </si>
  <si>
    <t>Warehouse</t>
  </si>
  <si>
    <t>Accounts Payable &amp; Accrued Expenses (Creditors)</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</si>
  <si>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</si>
  <si>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Asumption:</t>
  </si>
  <si>
    <t>Company has to give credit for sale at 14 Days</t>
  </si>
  <si>
    <t>Company will receive credit from suppliers for 7 days</t>
  </si>
  <si>
    <t>25 % of Working Capital will be financed by the company and balance 75% from bank finance at 12% rate of interest</t>
  </si>
  <si>
    <t>6.1 Consolidated Profit and loss account for the Project</t>
  </si>
  <si>
    <t>Revenue</t>
  </si>
  <si>
    <t>Faclitiy 1 - Cleaning &amp; Grading</t>
  </si>
  <si>
    <t>Faclitiy 2 - Processing Unit- Dal Mill</t>
  </si>
  <si>
    <t>Faclitiy 3 - Warehouse</t>
  </si>
  <si>
    <t>Total Revenue</t>
  </si>
  <si>
    <t>Variable Cost</t>
  </si>
  <si>
    <t>Total Variable Cost</t>
  </si>
  <si>
    <t>Fixed Cost</t>
  </si>
  <si>
    <t>Admin Expenses</t>
  </si>
  <si>
    <t>Total Fixed Cost</t>
  </si>
  <si>
    <t>Total Cost</t>
  </si>
  <si>
    <t>Profit Before Depreciation ,Interest and Tax</t>
  </si>
  <si>
    <t>Amortization</t>
  </si>
  <si>
    <t>Profit Before Interest and Tax</t>
  </si>
  <si>
    <t>Interest on Term loan</t>
  </si>
  <si>
    <t>Profit Before Tax</t>
  </si>
  <si>
    <t>Less. Tax</t>
  </si>
  <si>
    <t>Profit After Tax</t>
  </si>
  <si>
    <t>Cumuilative Profit</t>
  </si>
  <si>
    <t>Projected Consolidated Profit and Loss account is to give a projection of how much money you will bring in by selling products or services and how much profit you will make from these sales.</t>
  </si>
  <si>
    <t>7.1 Balancesheet  for the Project</t>
  </si>
  <si>
    <t>ASSETS</t>
  </si>
  <si>
    <t>Current Assets</t>
  </si>
  <si>
    <t>Cash and Bank Balance</t>
  </si>
  <si>
    <t>Accounts Receivables</t>
  </si>
  <si>
    <t>Total Current Assets</t>
  </si>
  <si>
    <t>Gross Fixed Assets</t>
  </si>
  <si>
    <t>Less: Depriciation</t>
  </si>
  <si>
    <t>Preliminary &amp; Pre- operative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</si>
  <si>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</si>
  <si>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</si>
  <si>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</si>
  <si>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</si>
  <si>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</si>
  <si>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</si>
  <si>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</si>
  <si>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</si>
  <si>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</si>
  <si>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</si>
  <si>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</si>
  <si>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Smart Grant -in-Aid</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</si>
  <si>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</si>
  <si>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</si>
  <si>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</si>
  <si>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</si>
  <si>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</si>
  <si>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</si>
  <si>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</si>
  <si>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</si>
  <si>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</si>
  <si>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</si>
  <si>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8.1 Cash Flow Statement for the Project</t>
  </si>
  <si>
    <t xml:space="preserve">Sr. </t>
  </si>
  <si>
    <t>Operating Profit</t>
  </si>
  <si>
    <t>Total Revnue</t>
  </si>
  <si>
    <t>Equity/ Share capital</t>
  </si>
  <si>
    <t>Reivestment</t>
  </si>
  <si>
    <t>Long Term Loan</t>
  </si>
  <si>
    <t>Short Term Loan</t>
  </si>
  <si>
    <t>Sub Total (A)</t>
  </si>
  <si>
    <t>Cash Outflow (Rs.)</t>
  </si>
  <si>
    <t>Capital Expenditure</t>
  </si>
  <si>
    <t>a</t>
  </si>
  <si>
    <t>b</t>
  </si>
  <si>
    <t>c</t>
  </si>
  <si>
    <t>Furniture &amp; Fixture</t>
  </si>
  <si>
    <t>d</t>
  </si>
  <si>
    <t>It Infrastructure</t>
  </si>
  <si>
    <t>e</t>
  </si>
  <si>
    <t>Premilinary Expenses</t>
  </si>
  <si>
    <t>Operational Expenditure</t>
  </si>
  <si>
    <t>Loan Repayment</t>
  </si>
  <si>
    <t>LTL - Principal</t>
  </si>
  <si>
    <t>LTL - Interest</t>
  </si>
  <si>
    <t>STL - Interest</t>
  </si>
  <si>
    <t>Tax</t>
  </si>
  <si>
    <t>Sub Total (B)</t>
  </si>
  <si>
    <t>Net Cash Flow (A-B)</t>
  </si>
  <si>
    <t>Opening Cash and Bank</t>
  </si>
  <si>
    <t>Cumulative Cash Balance</t>
  </si>
  <si>
    <t>A projected cash flow statement is used to evaluate cash inflows and outflows to deter. mine when, how much, and for how long cash deficits or surpluses will exist for a farm business during an upcoming time period. </t>
  </si>
  <si>
    <t>9.1 Internal Rate of Return</t>
  </si>
  <si>
    <t xml:space="preserve">Particular </t>
  </si>
  <si>
    <t>Y0</t>
  </si>
  <si>
    <t>Profit after Tax &amp; Diivdend</t>
  </si>
  <si>
    <t>Add: Preliminary expense written off</t>
  </si>
  <si>
    <t xml:space="preserve">Net Cash Accrual (A)      </t>
  </si>
  <si>
    <t>Initial Investment/ Net Cash Accrual</t>
  </si>
  <si>
    <t>IRR</t>
  </si>
  <si>
    <t xml:space="preserve">Present Value Equivalent </t>
  </si>
  <si>
    <t>Presnt Value of Future Inflows</t>
  </si>
  <si>
    <t>Operating Net Cash Inflow</t>
  </si>
  <si>
    <t>Present Capital Outflow</t>
  </si>
  <si>
    <t>The internal rate of return (IRR) is a ratio used in financial analysis to estimate the profitability of potential investments. IRR is a discount rate that makes the net present value (NPV) of all cash flows equal to zero in a discounted cash flow analysis.</t>
  </si>
  <si>
    <t>9.2 Break even Point</t>
  </si>
  <si>
    <t>Gross Receipts</t>
  </si>
  <si>
    <t>Total Receipts</t>
  </si>
  <si>
    <t>Total Variable Exp</t>
  </si>
  <si>
    <t>Contribution</t>
  </si>
  <si>
    <t>Total Fixed exp</t>
  </si>
  <si>
    <t>BEP</t>
  </si>
  <si>
    <t>Average BEP</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</si>
  <si>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</si>
  <si>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9.3 Net Presnt Value</t>
  </si>
  <si>
    <t>Profit after Tax &amp; Dividend</t>
  </si>
  <si>
    <t>Add: Deprication</t>
  </si>
  <si>
    <t>Add. Preliminary exp Written off</t>
  </si>
  <si>
    <t>PV Factor @ 10 %</t>
  </si>
  <si>
    <t>Disc Cash Flow</t>
  </si>
  <si>
    <t>Total Discounted Cash Flows</t>
  </si>
  <si>
    <t>Present Value of Outflow</t>
  </si>
  <si>
    <t>NPV</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</si>
  <si>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</si>
  <si>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9.4 Return On Investments</t>
  </si>
  <si>
    <t>Net Profit</t>
  </si>
  <si>
    <t>Average net profit</t>
  </si>
  <si>
    <t>Total Project cost</t>
  </si>
  <si>
    <t>ROI</t>
  </si>
  <si>
    <t>Return on investment (ROI) is a performance measure used to evaluate the efficiency or profitability of an investment</t>
  </si>
  <si>
    <t>9.5 Payback Period (In years) - Project</t>
  </si>
  <si>
    <t>Initial Investment</t>
  </si>
  <si>
    <t>Cashflow - Initial Investment</t>
  </si>
  <si>
    <t>Payback period (in years) - Project</t>
  </si>
  <si>
    <t>The payback period refers to the amount of time it takes to recover the cost of an investment </t>
  </si>
  <si>
    <t>9.6 Debt Service Covergae Ratio (DSCR)</t>
  </si>
  <si>
    <t>Net Operating Income</t>
  </si>
  <si>
    <t>Add: Depreciation</t>
  </si>
  <si>
    <t>Add: Amortization</t>
  </si>
  <si>
    <t>Total Annual EMI</t>
  </si>
  <si>
    <t>Debt Service Coverage  Ratio (DCSR)</t>
  </si>
  <si>
    <t xml:space="preserve">Avergae DSCR </t>
  </si>
  <si>
    <t>the debt-service coverage ratio (DSCR) is a measurement of a firm's available cash flow to pay current debt obligations. The DSCR shows investors whether a company has enough income to pay its debts.</t>
  </si>
  <si>
    <t>9.7 Sensitivity Analysis</t>
  </si>
  <si>
    <t>Quantity Variation (+5%)</t>
  </si>
  <si>
    <t>Quantity Variance</t>
  </si>
  <si>
    <t>Cost Variance</t>
  </si>
  <si>
    <t>Total Income</t>
  </si>
  <si>
    <t>Expenditure</t>
  </si>
  <si>
    <t>Fixed Cost (Excl. of Depreciation, Amortization and Interest)</t>
  </si>
  <si>
    <t>Total Operational Expenses</t>
  </si>
  <si>
    <t>Net Income</t>
  </si>
  <si>
    <t>Cost Variation (+5%)</t>
  </si>
  <si>
    <t>Quantity Variation (-5%)</t>
  </si>
  <si>
    <t>Cost Variation (-5%)</t>
  </si>
  <si>
    <t>Sensitivity analysis is a financial model that determines how target variables are affected based on changes in Quantity or cost variance known as input variables.Here it is assume 5% (+,-) while calculating sensitivity analysis</t>
  </si>
  <si>
    <t>Grains Crops and  Production Details</t>
  </si>
  <si>
    <t>10.1 Details of members and non- members</t>
  </si>
  <si>
    <t>Total No.of Members Cultivating Grain Crops</t>
  </si>
  <si>
    <t>Total No.of Non- members Cultivating Grain Crops</t>
  </si>
  <si>
    <t>Average Land Holding  per Member (Acres)</t>
  </si>
  <si>
    <t>Total Cultivated Land under grain Crop(Acres)</t>
  </si>
  <si>
    <t>Input</t>
  </si>
  <si>
    <t>total</t>
  </si>
  <si>
    <t>%</t>
  </si>
  <si>
    <t xml:space="preserve">10.2 Statement Showing Area,production,productivity and marketable Surplus of Crops </t>
  </si>
  <si>
    <t>Season</t>
  </si>
  <si>
    <t>Crop</t>
  </si>
  <si>
    <t>Cultivation In (%)</t>
  </si>
  <si>
    <t>Total Land under Cultivaion ( In Acres)</t>
  </si>
  <si>
    <t>Yield/Acres  (In Quintals)</t>
  </si>
  <si>
    <t>Total Production (In Quintals)</t>
  </si>
  <si>
    <t>Consumption in (%)</t>
  </si>
  <si>
    <t>Marketable Surplus ( In Quintals)</t>
  </si>
  <si>
    <t>Kharif</t>
  </si>
  <si>
    <t>Soybean</t>
  </si>
  <si>
    <t>Red Gram/Tur</t>
  </si>
  <si>
    <t>Paddy/Rice</t>
  </si>
  <si>
    <t>Green Gram/ Moong</t>
  </si>
  <si>
    <t>Maize</t>
  </si>
  <si>
    <t>Black Gram/Udid</t>
  </si>
  <si>
    <t>Bajra</t>
  </si>
  <si>
    <t>Jawar</t>
  </si>
  <si>
    <t>Sunflower</t>
  </si>
  <si>
    <t>Area Under Rabbi Cultivation ( In Acres)</t>
  </si>
  <si>
    <t>Rabbi</t>
  </si>
  <si>
    <t>Wheat</t>
  </si>
  <si>
    <t>Bengal Gram/Channa</t>
  </si>
  <si>
    <t>Safflower</t>
  </si>
  <si>
    <t>Area Under Summer Cultivation ( In Acres)</t>
  </si>
  <si>
    <t>Summer</t>
  </si>
  <si>
    <t>Groundnut</t>
  </si>
  <si>
    <t xml:space="preserve">Note- Please note the crops/fruits/vegetable grown in the FPC catchement which has marketable Surplus </t>
  </si>
  <si>
    <t>10.3 Quantity of Marketable Surplus Produce Considered for Trading Business</t>
  </si>
  <si>
    <t>10.4 Quantity of Marketable Surplus Produce Considered for Processing Business</t>
  </si>
  <si>
    <t>10.5 Crop-wise Area Considered for Agri Input Service Centre</t>
  </si>
  <si>
    <t>Assumptions:</t>
  </si>
  <si>
    <t>30% of total produce of the cluster will be trade in first year and it will increase everyear year by 5 %</t>
  </si>
  <si>
    <t>10% of total produce of the cluster will be Process in first year and it will increase everyear year by 5 %</t>
  </si>
  <si>
    <t xml:space="preserve">65% of total land of members is considered for Agri input service centre business </t>
  </si>
  <si>
    <t>Fruit  &amp; Vegetables Crop Production Details</t>
  </si>
  <si>
    <t>11.1 Details of members and non- members</t>
  </si>
  <si>
    <t>Total No.of Members  Cultivating F &amp; V</t>
  </si>
  <si>
    <t>Total No.of Non-members  Cultivating F &amp; V</t>
  </si>
  <si>
    <t>Average Land Holding per member(Acres)</t>
  </si>
  <si>
    <t>Total Cultivated Land Under F &amp; V (Acres)</t>
  </si>
  <si>
    <t xml:space="preserve">11.2 Statement Showing Area,production,productivity and marketable Surplus of Crops </t>
  </si>
  <si>
    <t>Onion</t>
  </si>
  <si>
    <t>Tomato</t>
  </si>
  <si>
    <t>Okra</t>
  </si>
  <si>
    <t>Chilli</t>
  </si>
  <si>
    <t>Potato</t>
  </si>
  <si>
    <t>Area Under Vegetables in Rabbi Season ( In Acres)</t>
  </si>
  <si>
    <t>Brinjal</t>
  </si>
  <si>
    <t>Area Under Vegetables in Summer Season ( In Acres)</t>
  </si>
  <si>
    <t>Area Under Fruit Crops ( In Acres)</t>
  </si>
  <si>
    <t>Custard Apple</t>
  </si>
  <si>
    <t>Guava</t>
  </si>
  <si>
    <t>Citrus</t>
  </si>
  <si>
    <t>11.3 Quantity of Marketable Surplus Produce Considered for Trading Business</t>
  </si>
  <si>
    <t>11.4 Quantity of Marketable Surplus Produce Considered for Processing Business</t>
  </si>
  <si>
    <t>11.5 Crop-wise Area Considered for Agri Input Service Centre</t>
  </si>
  <si>
    <t>35% of total produce of the cluster will be trade in first year and it will increase everyear year by 5 %</t>
  </si>
  <si>
    <t>5% of total produce of the cluster will be Process in first year and it will increase everyear year by 5 %</t>
  </si>
  <si>
    <t>Facility 3 - Trading Unit</t>
  </si>
  <si>
    <t>12.1 Producers/ Capacity Utilization</t>
  </si>
  <si>
    <t>Tentative Wastage Percentage</t>
  </si>
  <si>
    <t>Quinatal/Hour</t>
  </si>
  <si>
    <t>Commodity</t>
  </si>
  <si>
    <t>Percentage</t>
  </si>
  <si>
    <t>No. of Hours</t>
  </si>
  <si>
    <t>Grains</t>
  </si>
  <si>
    <t>Fruit and Vegetables</t>
  </si>
  <si>
    <t>No.of Working Days</t>
  </si>
  <si>
    <t>No.of Operation Days</t>
  </si>
  <si>
    <t>Total Grains Quantity to be Processed</t>
  </si>
  <si>
    <t>Total F &amp; V Quantity to be Processed</t>
  </si>
  <si>
    <t xml:space="preserve">Job Work for Grains </t>
  </si>
  <si>
    <t>Quanity for trading of Grains</t>
  </si>
  <si>
    <t>Job Work (50%)</t>
  </si>
  <si>
    <t>Quantity for sale (50%)</t>
  </si>
  <si>
    <t>Output</t>
  </si>
  <si>
    <t>12.2 Facility 1 - Profit and loss of Trading</t>
  </si>
  <si>
    <t>Quintals</t>
  </si>
  <si>
    <t>Job Work Charges</t>
  </si>
  <si>
    <t>Expenses</t>
  </si>
  <si>
    <t>Daily Lobour</t>
  </si>
  <si>
    <t>Electricity Charges</t>
  </si>
  <si>
    <t>Gunny Bags/100 Kg</t>
  </si>
  <si>
    <t>Transporation Cost/100 Kg</t>
  </si>
  <si>
    <t>Add: Opening Stock</t>
  </si>
  <si>
    <t>Less: Closing Stock</t>
  </si>
  <si>
    <t>Machine Operator</t>
  </si>
  <si>
    <t>Total Expenses</t>
  </si>
  <si>
    <t>Operaing Income</t>
  </si>
  <si>
    <t>1. Inflation is assumed to be 5% anually.</t>
  </si>
  <si>
    <t>This sheet provide details capacity utilization of machines and also sale, expenses and operating profit of trading activity</t>
  </si>
  <si>
    <t>Revenue and cost is related to this facility only</t>
  </si>
  <si>
    <t>Common expenditure such as admin, depreciation and amortization not considered.</t>
  </si>
  <si>
    <t>Inflation is assumed to be 5% anually.</t>
  </si>
  <si>
    <t>Facility 2 - Grain Processing Unit - Dal Mill</t>
  </si>
  <si>
    <t>13.1 Producers/ Capacity Utilization</t>
  </si>
  <si>
    <t>Qtls P Hour</t>
  </si>
  <si>
    <t>No. of Operation Days</t>
  </si>
  <si>
    <t>Total Quantity to be Processed</t>
  </si>
  <si>
    <t>Quanity for Processing and Trading for PC</t>
  </si>
  <si>
    <t>Output (KG)</t>
  </si>
  <si>
    <t>Dal (80%)</t>
  </si>
  <si>
    <t>Husk and Powder</t>
  </si>
  <si>
    <t>Packaging (In Kg)</t>
  </si>
  <si>
    <t>13.2 Facility 2 - Profit and loss of Grain Processing Unit - Dal Mill</t>
  </si>
  <si>
    <t>Pulses</t>
  </si>
  <si>
    <t>50 Kg</t>
  </si>
  <si>
    <t xml:space="preserve">Black Gram </t>
  </si>
  <si>
    <t>Kg</t>
  </si>
  <si>
    <t>Red gram</t>
  </si>
  <si>
    <t>Black gram</t>
  </si>
  <si>
    <t>Oil (Liters)</t>
  </si>
  <si>
    <t xml:space="preserve">Daily Labour </t>
  </si>
  <si>
    <t>Loading/Unloading Charges</t>
  </si>
  <si>
    <t>packaging Exp</t>
  </si>
  <si>
    <t>Transportation Charges</t>
  </si>
  <si>
    <t>Total expenses</t>
  </si>
  <si>
    <t>This sheet provide details capacity utilization of machines and also sale, expenses and operating profit of Dal Mill activity</t>
  </si>
  <si>
    <t>Facility 3 - Warehouse</t>
  </si>
  <si>
    <t>14.1 Capacity Utilization</t>
  </si>
  <si>
    <t>MT</t>
  </si>
  <si>
    <t>No.of Month</t>
  </si>
  <si>
    <t>Capacity Utilisation</t>
  </si>
  <si>
    <t>Total Quantity Stored per Annum</t>
  </si>
  <si>
    <t>14.2 Facility 3 - Profit and loss of Warehouse</t>
  </si>
  <si>
    <t>Vegetable</t>
  </si>
  <si>
    <t>Storage Charges per MT per Month</t>
  </si>
  <si>
    <t>Dunnage</t>
  </si>
  <si>
    <t>Fumigation</t>
  </si>
  <si>
    <t>Eletricity</t>
  </si>
  <si>
    <t>Warehouse Manager</t>
  </si>
  <si>
    <t>Opperating profit</t>
  </si>
  <si>
    <t>Facility 4 - Custom Hiring</t>
  </si>
  <si>
    <t>15.1 Capacity Utlization</t>
  </si>
  <si>
    <t>Custom Hiring Equipment</t>
  </si>
  <si>
    <t>No.of Equipment</t>
  </si>
  <si>
    <t>Working Days</t>
  </si>
  <si>
    <t>No.of Hours in day</t>
  </si>
  <si>
    <t>Total Hours in a year</t>
  </si>
  <si>
    <t>Required Hrs/Acre</t>
  </si>
  <si>
    <t xml:space="preserve">Total Acres </t>
  </si>
  <si>
    <t>No.of Liters Diesel Required/acre</t>
  </si>
  <si>
    <t xml:space="preserve">Total no.of Liters required </t>
  </si>
  <si>
    <t>Service Charges/Acre (Amount (Rs.)</t>
  </si>
  <si>
    <t>Labour Requirement</t>
  </si>
  <si>
    <t>Total No. of Days Labour Reuired</t>
  </si>
  <si>
    <t>Double Plough</t>
  </si>
  <si>
    <t>Cultivator</t>
  </si>
  <si>
    <t>Rotavator</t>
  </si>
  <si>
    <t>BBF Seed Sowing Machine</t>
  </si>
  <si>
    <t>Mobile Threshing</t>
  </si>
  <si>
    <t>15.2 Facility 4 - Profit and loss of Custom Hiring</t>
  </si>
  <si>
    <t xml:space="preserve">Custom Hiring Charges </t>
  </si>
  <si>
    <t>Variable Expenses</t>
  </si>
  <si>
    <t>Diesel</t>
  </si>
  <si>
    <t>Litres</t>
  </si>
  <si>
    <t>Daily Labour</t>
  </si>
  <si>
    <t>No. of Days</t>
  </si>
  <si>
    <t>Driver</t>
  </si>
  <si>
    <t>Operating Income</t>
  </si>
  <si>
    <t xml:space="preserve">This sheet provide details of sale, expenses and operating profit of custom hiring activity </t>
  </si>
  <si>
    <t>Facility 5 - Agri Input</t>
  </si>
  <si>
    <t>Area under crop (In Acres)</t>
  </si>
  <si>
    <t>Kharif Crops</t>
  </si>
  <si>
    <t>Rabi Crop</t>
  </si>
  <si>
    <t>Requirement of Input material</t>
  </si>
  <si>
    <t>Seeds</t>
  </si>
  <si>
    <t>Fertilizers</t>
  </si>
  <si>
    <t>SSP</t>
  </si>
  <si>
    <t>Urea</t>
  </si>
  <si>
    <t>DAP</t>
  </si>
  <si>
    <t>Pesticide</t>
  </si>
  <si>
    <t>Dupont Coragen</t>
  </si>
  <si>
    <t>Confidor Boyer</t>
  </si>
  <si>
    <t>Facility 5 - Profit and loss of Agri Input</t>
  </si>
  <si>
    <t>Seeds (Rate/KG)</t>
  </si>
  <si>
    <t>Fertilizer(Rate/KG)</t>
  </si>
  <si>
    <t>Loading &amp; Unloading</t>
  </si>
  <si>
    <t>Transportation Cost</t>
  </si>
  <si>
    <t>Rent</t>
  </si>
  <si>
    <t>Agri Input Center Manager</t>
  </si>
  <si>
    <t>Support Staff</t>
  </si>
  <si>
    <t>Electricty Charges</t>
  </si>
  <si>
    <t>Operating cost</t>
  </si>
  <si>
    <t xml:space="preserve">This sheet provide details of sale, expenses and operating profit of agri input activity </t>
  </si>
  <si>
    <t xml:space="preserve">Facility 6 - F &amp; V Processing Unit </t>
  </si>
  <si>
    <t>17.1 Producer/Capacity Utlization</t>
  </si>
  <si>
    <t>Pomegranate Arils</t>
  </si>
  <si>
    <t>Pomegranate Juice</t>
  </si>
  <si>
    <t>Pomegranate Powder</t>
  </si>
  <si>
    <t>Pomegranate Arils 1 Kg</t>
  </si>
  <si>
    <t>Pomegranate Juice 1 Ltrs</t>
  </si>
  <si>
    <t>Pomegranate Peel Powder1 Kg</t>
  </si>
  <si>
    <t>17.2 Activity 6 - Profit and loss of F &amp; V Processing Unit</t>
  </si>
  <si>
    <t>Quiantals</t>
  </si>
  <si>
    <t>Ltrs</t>
  </si>
  <si>
    <t>Pomegatnte</t>
  </si>
  <si>
    <t>Other Consumbales</t>
  </si>
  <si>
    <t>Machinery</t>
  </si>
  <si>
    <t>Godown</t>
  </si>
  <si>
    <t>Packing Machine</t>
  </si>
  <si>
    <t>Mini Dal Mill</t>
  </si>
  <si>
    <t xml:space="preserve">Transport </t>
  </si>
  <si>
    <t>Office and Weigh Bridge</t>
  </si>
  <si>
    <t xml:space="preserve">Electircal </t>
  </si>
  <si>
    <t>Storage Godown</t>
  </si>
  <si>
    <t>8 Ton/hr</t>
  </si>
  <si>
    <t>Office Furniture</t>
  </si>
  <si>
    <t>Computers</t>
  </si>
  <si>
    <t>Printer</t>
  </si>
  <si>
    <t>Professional Fees</t>
  </si>
  <si>
    <t>Traveliing Expenses</t>
  </si>
  <si>
    <t>Bank Charges</t>
  </si>
  <si>
    <t>Company Incorporation Expenses</t>
  </si>
  <si>
    <t>Other Misc. Expenses</t>
  </si>
  <si>
    <t>Weigh Bridge Machinery</t>
  </si>
  <si>
    <t>50T</t>
  </si>
  <si>
    <t>Cleaning &amp; Grading Plant</t>
  </si>
  <si>
    <t>Colour Sortex Machine</t>
  </si>
  <si>
    <t>Qtls +/ha</t>
  </si>
  <si>
    <t>Increase in Account Payables</t>
  </si>
  <si>
    <t>Increase in Account Receivables and stock</t>
  </si>
  <si>
    <t>Interest on Working Capital</t>
  </si>
  <si>
    <t>Job Work (25%)</t>
  </si>
  <si>
    <t>Quantity for sale (75%)</t>
  </si>
  <si>
    <t>5kg to 40kg</t>
  </si>
  <si>
    <t>30L</t>
  </si>
  <si>
    <t>2.5 to 3 ton</t>
  </si>
  <si>
    <t>New</t>
  </si>
  <si>
    <t>15K</t>
  </si>
  <si>
    <t>7L</t>
  </si>
  <si>
    <t>Electrical Installation</t>
  </si>
  <si>
    <t>60K</t>
  </si>
  <si>
    <t>Office and Weighbridge Cabin</t>
  </si>
  <si>
    <t>Sorting and Gradding</t>
  </si>
  <si>
    <t>Dal mill</t>
  </si>
  <si>
    <t>Machinery Maintenance</t>
  </si>
  <si>
    <t>Interest on TL</t>
  </si>
  <si>
    <t>Factory Shed for Sorting, Grading and Dal Mill Unit</t>
  </si>
  <si>
    <t>Rate of Interest assumed as 13%</t>
  </si>
  <si>
    <t>2 TPH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</si>
</sst>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 #,##0.00_ ;_ * \-#,##0.00_ ;_ * &quot;-&quot;??_ ;_ @_ "/>
    <numFmt numFmtId="165" formatCode="_(* #,##0_);_(* \(#,##0\);_(* &quot;-&quot;??_);_(@_)"/>
    <numFmt numFmtId="166" formatCode="_-* #,##0_-;\-* #,##0_-;_-* &quot;-&quot;??_-;_-@"/>
    <numFmt numFmtId="167" formatCode="_-* #,##0.00_-;\-* #,##0.00_-;_-* &quot;-&quot;??_-;_-@"/>
    <numFmt numFmtId="168" formatCode="#,##0_ ;[Red]\-#,##0\ "/>
    <numFmt numFmtId="169" formatCode="#,##0.00_ ;[Red]\-#,##0.00\ "/>
    <numFmt numFmtId="170" formatCode="&quot;Rs.&quot;\ #,##0.00;[Red]&quot;Rs.&quot;\ \-#,##0.00"/>
    <numFmt numFmtId="171" formatCode="0.0"/>
    <numFmt numFmtId="172" formatCode="_ * #,##0_ ;_ * \-#,##0_ ;_ * &quot;-&quot;??_ ;_ @_ "/>
    <numFmt numFmtId="173" formatCode="_ * #,##0.0_ ;_ * \-#,##0.0_ ;_ * &quot;-&quot;??_ ;_ @_ "/>
    <numFmt numFmtId="174" formatCode="0.0%"/>
    <numFmt numFmtId="175" formatCode="_(* #,##0.000_);_(* \(#,##0.000\);_(* &quot;-&quot;??_);_(@_)"/>
  </numFmts>
  <fonts count="73">
    <font>
      <sz val="11"/>
      <color rgb="FF000000"/>
      <name val="Calibri"/>
    </font>
    <font>
      <b/>
      <sz val="24"/>
      <color rgb="FF000000"/>
      <name val="Calibri"/>
      <family val="2"/>
    </font>
    <font>
      <sz val="11"/>
      <name val="Calibri"/>
      <family val="2"/>
    </font>
    <font>
      <b/>
      <u/>
      <sz val="18"/>
      <color rgb="FF000000"/>
      <name val="Calibri"/>
      <family val="2"/>
    </font>
    <font>
      <b/>
      <sz val="18"/>
      <color rgb="FF000000"/>
      <name val="Calibri"/>
      <family val="2"/>
    </font>
    <font>
      <b/>
      <sz val="11"/>
      <color rgb="FF000000"/>
      <name val="Calibri"/>
      <family val="2"/>
    </font>
    <font>
      <b/>
      <sz val="11"/>
      <color rgb="FFC00000"/>
      <name val="Calibri"/>
      <family val="2"/>
    </font>
    <font>
      <b/>
      <sz val="16"/>
      <color rgb="FF000000"/>
      <name val="Calibri"/>
      <family val="2"/>
    </font>
    <font>
      <b/>
      <sz val="14"/>
      <color rgb="FF000000"/>
      <name val="Times New Roman"/>
      <family val="1"/>
    </font>
    <font>
      <b/>
      <sz val="10"/>
      <color rgb="FFFFFFFF"/>
      <name val="Times New Roman"/>
      <family val="1"/>
    </font>
    <font>
      <sz val="10"/>
      <color rgb="FF000000"/>
      <name val="Times New Roman"/>
      <family val="1"/>
    </font>
    <font>
      <sz val="10"/>
      <color rgb="FF000000"/>
      <name val="Calibri"/>
      <family val="2"/>
    </font>
    <font>
      <b/>
      <sz val="10"/>
      <color rgb="FF000000"/>
      <name val="Times New Roman"/>
      <family val="1"/>
    </font>
    <font>
      <b/>
      <sz val="8"/>
      <name val="Inherit"/>
    </font>
    <font>
      <sz val="11"/>
      <color rgb="FF000000"/>
      <name val="Garamond"/>
      <family val="1"/>
    </font>
    <font>
      <b/>
      <sz val="11"/>
      <color rgb="FFFFFFFF"/>
      <name val="Times New Roman"/>
      <family val="1"/>
    </font>
    <font>
      <sz val="11"/>
      <name val="Times New Roman"/>
      <family val="1"/>
    </font>
    <font>
      <sz val="11"/>
      <color rgb="FF000000"/>
      <name val="Times New Roman"/>
      <family val="1"/>
    </font>
    <font>
      <b/>
      <sz val="11"/>
      <color rgb="FF000000"/>
      <name val="Times New Roman"/>
      <family val="1"/>
    </font>
    <font>
      <b/>
      <sz val="11"/>
      <color rgb="FFFFFFFF"/>
      <name val="Garamond"/>
      <family val="1"/>
    </font>
    <font>
      <b/>
      <sz val="11"/>
      <color rgb="FF000000"/>
      <name val="Garamond"/>
      <family val="1"/>
    </font>
    <font>
      <b/>
      <sz val="11"/>
      <color rgb="FF202124"/>
      <name val="Garamond"/>
      <family val="1"/>
    </font>
    <font>
      <b/>
      <sz val="11"/>
      <name val="Calibri"/>
      <family val="2"/>
    </font>
    <font>
      <b/>
      <sz val="14"/>
      <name val="Times New Roman"/>
      <family val="1"/>
    </font>
    <font>
      <b/>
      <u/>
      <sz val="11"/>
      <color rgb="FF000000"/>
      <name val="Times New Roman"/>
      <family val="1"/>
    </font>
    <font>
      <b/>
      <i/>
      <sz val="11"/>
      <color rgb="FF000000"/>
      <name val="Times New Roman"/>
      <family val="1"/>
    </font>
    <font>
      <b/>
      <sz val="11"/>
      <name val="Times New Roman"/>
      <family val="1"/>
    </font>
    <font>
      <sz val="11"/>
      <name val="Calibri"/>
      <family val="2"/>
    </font>
    <font>
      <b/>
      <u/>
      <sz val="11"/>
      <color rgb="FF0000FF"/>
      <name val="Calibri"/>
      <family val="2"/>
    </font>
    <font>
      <sz val="11"/>
      <color rgb="FFFFFFFF"/>
      <name val="Times New Roman"/>
      <family val="1"/>
    </font>
    <font>
      <b/>
      <sz val="8"/>
      <color rgb="FF202124"/>
      <name val="Arial"/>
      <family val="2"/>
    </font>
    <font>
      <b/>
      <sz val="9"/>
      <name val="Arial"/>
      <family val="2"/>
    </font>
    <font>
      <b/>
      <sz val="11"/>
      <color rgb="FF272727"/>
      <name val="Garamond"/>
      <family val="1"/>
    </font>
    <font>
      <sz val="10"/>
      <color rgb="FF424142"/>
      <name val="Georgia"/>
      <family val="1"/>
    </font>
    <font>
      <sz val="12"/>
      <color rgb="FFFFFFFF"/>
      <name val="Times New Roman"/>
      <family val="1"/>
    </font>
    <font>
      <b/>
      <sz val="11"/>
      <color rgb="FF111111"/>
      <name val="Garamond"/>
      <family val="1"/>
    </font>
    <font>
      <b/>
      <sz val="11"/>
      <color rgb="FFFFFFFF"/>
      <name val="Calibri"/>
      <family val="2"/>
    </font>
    <font>
      <sz val="11"/>
      <color rgb="FFFFFFFF"/>
      <name val="Calibri"/>
      <family val="2"/>
    </font>
    <font>
      <sz val="11"/>
      <color rgb="FFC00000"/>
      <name val="Calibri"/>
      <family val="2"/>
    </font>
    <font>
      <b/>
      <sz val="11"/>
      <name val="Times New Roman"/>
      <family val="1"/>
    </font>
    <font>
      <b/>
      <sz val="11"/>
      <color rgb="FF000000"/>
      <name val="Times New Roman"/>
      <family val="1"/>
    </font>
    <font>
      <sz val="11"/>
      <color rgb="FF000000"/>
      <name val="Times New Roman"/>
      <family val="1"/>
    </font>
    <font>
      <sz val="11"/>
      <color rgb="FF000000"/>
      <name val="Calibri"/>
      <family val="2"/>
    </font>
    <font>
      <b/>
      <sz val="9"/>
      <color rgb="FF000000"/>
      <name val="Calibri"/>
      <family val="2"/>
      <scheme val="minor"/>
    </font>
    <font>
      <sz val="9"/>
      <color rgb="FF000000"/>
      <name val="Calibri"/>
      <family val="2"/>
      <scheme val="minor"/>
    </font>
    <font>
      <sz val="9"/>
      <name val="Calibri"/>
      <family val="2"/>
      <scheme val="minor"/>
    </font>
    <font>
      <b/>
      <sz val="9"/>
      <name val="Calibri"/>
      <family val="2"/>
      <scheme val="minor"/>
    </font>
    <font>
      <b/>
      <sz val="12"/>
      <color rgb="FF000000"/>
      <name val="Calibri"/>
      <family val="2"/>
      <scheme val="minor"/>
    </font>
    <font>
      <sz val="12"/>
      <color rgb="FF000000"/>
      <name val="Calibri"/>
      <family val="2"/>
      <scheme val="minor"/>
    </font>
    <font>
      <i/>
      <sz val="12"/>
      <color rgb="FFFF0000"/>
      <name val="Calibri"/>
      <family val="2"/>
      <scheme val="minor"/>
    </font>
    <font>
      <b/>
      <sz val="12"/>
      <name val="Calibri"/>
      <family val="2"/>
      <scheme val="minor"/>
    </font>
    <font>
      <sz val="12"/>
      <name val="Calibri"/>
      <family val="2"/>
      <scheme val="minor"/>
    </font>
    <font>
      <b/>
      <sz val="12"/>
      <color rgb="FFFFFFFF"/>
      <name val="Calibri"/>
      <family val="2"/>
      <scheme val="minor"/>
    </font>
    <font>
      <b/>
      <sz val="12"/>
      <color rgb="FF003366"/>
      <name val="Calibri"/>
      <family val="2"/>
      <scheme val="minor"/>
    </font>
    <font>
      <b/>
      <u/>
      <sz val="12"/>
      <name val="Calibri"/>
      <family val="2"/>
      <scheme val="minor"/>
    </font>
    <font>
      <sz val="12"/>
      <color rgb="FF008000"/>
      <name val="Calibri"/>
      <family val="2"/>
      <scheme val="minor"/>
    </font>
    <font>
      <b/>
      <u/>
      <sz val="12"/>
      <color rgb="FF993300"/>
      <name val="Calibri"/>
      <family val="2"/>
      <scheme val="minor"/>
    </font>
    <font>
      <sz val="12"/>
      <color rgb="FF993300"/>
      <name val="Calibri"/>
      <family val="2"/>
      <scheme val="minor"/>
    </font>
    <font>
      <b/>
      <sz val="12"/>
      <color rgb="FF993300"/>
      <name val="Calibri"/>
      <family val="2"/>
      <scheme val="minor"/>
    </font>
    <font>
      <b/>
      <sz val="12"/>
      <color rgb="FF222222"/>
      <name val="Calibri"/>
      <family val="2"/>
      <scheme val="minor"/>
    </font>
    <font>
      <b/>
      <sz val="16"/>
      <name val="Calibri"/>
      <family val="2"/>
    </font>
    <font>
      <sz val="16"/>
      <color rgb="FF000000"/>
      <name val="Calibri"/>
      <family val="2"/>
    </font>
    <font>
      <b/>
      <sz val="16"/>
      <color rgb="FF000000"/>
      <name val="Times New Roman"/>
      <family val="1"/>
    </font>
    <font>
      <b/>
      <sz val="16"/>
      <color rgb="FFFFFFFF"/>
      <name val="Times New Roman"/>
      <family val="1"/>
    </font>
    <font>
      <sz val="16"/>
      <color rgb="FF000000"/>
      <name val="Times New Roman"/>
      <family val="1"/>
    </font>
    <font>
      <sz val="16"/>
      <name val="Calibri"/>
      <family val="2"/>
    </font>
    <font>
      <b/>
      <sz val="16"/>
      <color rgb="FF000000"/>
      <name val="Garamond"/>
      <family val="1"/>
    </font>
    <font>
      <sz val="16"/>
      <color rgb="FFFFFFFF"/>
      <name val="Times New Roman"/>
      <family val="1"/>
    </font>
    <font>
      <sz val="16"/>
      <name val="Times New Roman"/>
      <family val="1"/>
    </font>
    <font>
      <b/>
      <u/>
      <sz val="16"/>
      <color rgb="FF0000FF"/>
      <name val="Garamond"/>
      <family val="1"/>
    </font>
    <font>
      <b/>
      <sz val="16"/>
      <color rgb="FF202122"/>
      <name val="Garamond"/>
      <family val="1"/>
    </font>
    <font>
      <b/>
      <sz val="16"/>
      <color rgb="FF202124"/>
      <name val="Garamond"/>
      <family val="1"/>
    </font>
    <font>
      <b/>
      <sz val="16"/>
      <color rgb="FF111111"/>
      <name val="Garamond"/>
      <family val="1"/>
    </font>
  </fonts>
  <fills count="14">
    <fill>
      <patternFill patternType="none"/>
    </fill>
    <fill>
      <patternFill patternType="gray125"/>
    </fill>
    <fill>
      <patternFill patternType="solid">
        <fgColor rgb="FFFABF8F"/>
        <bgColor rgb="FFFABF8F"/>
      </patternFill>
    </fill>
    <fill>
      <patternFill patternType="solid">
        <fgColor rgb="FFB6DDE8"/>
        <bgColor rgb="FFB6DDE8"/>
      </patternFill>
    </fill>
    <fill>
      <patternFill patternType="solid">
        <fgColor rgb="FFD6E3BC"/>
        <bgColor rgb="FFD6E3BC"/>
      </patternFill>
    </fill>
    <fill>
      <patternFill patternType="solid">
        <fgColor rgb="FFFFFF00"/>
        <bgColor rgb="FFFFFF00"/>
      </patternFill>
    </fill>
    <fill>
      <patternFill patternType="solid">
        <fgColor rgb="FF92D050"/>
        <bgColor rgb="FF92D050"/>
      </patternFill>
    </fill>
    <fill>
      <patternFill patternType="solid">
        <fgColor rgb="FFF2DBDB"/>
        <bgColor rgb="FFF2DBDB"/>
      </patternFill>
    </fill>
    <fill>
      <patternFill patternType="solid">
        <fgColor rgb="FF494429"/>
        <bgColor rgb="FF494429"/>
      </patternFill>
    </fill>
    <fill>
      <patternFill patternType="solid">
        <fgColor rgb="FF333300"/>
        <bgColor rgb="FF333300"/>
      </patternFill>
    </fill>
    <fill>
      <patternFill patternType="solid">
        <fgColor rgb="FFFFFFFF"/>
        <bgColor rgb="FFFFFFFF"/>
      </patternFill>
    </fill>
    <fill>
      <patternFill patternType="solid">
        <fgColor rgb="FFFFFF00"/>
        <bgColor indexed="64"/>
      </patternFill>
    </fill>
    <fill>
      <patternFill patternType="solid">
        <fgColor rgb="FFFF0000"/>
        <bgColor rgb="FFFFFF00"/>
      </patternFill>
    </fill>
    <fill>
      <patternFill patternType="solid">
        <fgColor rgb="FF00B0F0"/>
        <bgColor indexed="64"/>
      </patternFill>
    </fill>
  </fills>
  <borders count="38">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thin">
        <color rgb="FF000000"/>
      </left>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diagonal/>
    </border>
    <border>
      <left style="medium">
        <color rgb="FF000000"/>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s>
  <cellStyleXfs count="1">
    <xf numFmtId="0" fontId="0" fillId="0" borderId="0"/>
  </cellStyleXfs>
  <cellXfs count="450">
    <xf numFmtId="0" fontId="0" fillId="0" borderId="0" xfId="0"/>
    <xf numFmtId="0" fontId="0" fillId="0" borderId="0" xfId="0" applyAlignment="1">
      <alignment vertical="center" wrapText="1"/>
    </xf>
    <xf numFmtId="0" fontId="0" fillId="5" borderId="5" xfId="0" applyFill="1" applyBorder="1" applyAlignment="1">
      <alignment vertical="center" wrapText="1"/>
    </xf>
    <xf numFmtId="0" fontId="0" fillId="6" borderId="5" xfId="0" applyFill="1" applyBorder="1" applyAlignment="1">
      <alignment vertical="center" wrapText="1"/>
    </xf>
    <xf numFmtId="0" fontId="5" fillId="0" borderId="6" xfId="0" applyFont="1" applyBorder="1" applyAlignment="1">
      <alignment vertical="center" wrapText="1"/>
    </xf>
    <xf numFmtId="0" fontId="5" fillId="7" borderId="6" xfId="0" applyFont="1" applyFill="1" applyBorder="1" applyAlignment="1">
      <alignment vertical="center" wrapText="1"/>
    </xf>
    <xf numFmtId="0" fontId="6" fillId="0" borderId="6"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5" fillId="7" borderId="10" xfId="0" applyFont="1" applyFill="1" applyBorder="1" applyAlignment="1">
      <alignment vertical="center" wrapText="1"/>
    </xf>
    <xf numFmtId="0" fontId="0" fillId="0" borderId="6" xfId="0" applyBorder="1" applyAlignment="1">
      <alignment horizontal="center" vertical="center" wrapText="1"/>
    </xf>
    <xf numFmtId="0" fontId="9" fillId="8" borderId="6"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10" fillId="0" borderId="6" xfId="0" applyFont="1" applyBorder="1" applyAlignment="1">
      <alignment horizontal="right" vertical="center" wrapText="1"/>
    </xf>
    <xf numFmtId="0" fontId="10" fillId="0" borderId="6" xfId="0" applyFont="1" applyBorder="1" applyAlignment="1">
      <alignment vertical="center" wrapText="1"/>
    </xf>
    <xf numFmtId="165" fontId="10" fillId="0" borderId="6" xfId="0" applyNumberFormat="1" applyFont="1" applyBorder="1" applyAlignment="1">
      <alignment vertical="center" wrapText="1"/>
    </xf>
    <xf numFmtId="165" fontId="11" fillId="0" borderId="6" xfId="0" applyNumberFormat="1" applyFont="1" applyBorder="1"/>
    <xf numFmtId="0" fontId="11" fillId="0" borderId="6" xfId="0" applyFont="1" applyBorder="1"/>
    <xf numFmtId="165" fontId="12" fillId="0" borderId="6" xfId="0" applyNumberFormat="1" applyFont="1" applyBorder="1" applyAlignment="1">
      <alignment horizontal="center" vertical="center" wrapText="1"/>
    </xf>
    <xf numFmtId="166" fontId="0" fillId="0" borderId="0" xfId="0" applyNumberFormat="1"/>
    <xf numFmtId="0" fontId="9" fillId="8" borderId="6" xfId="0" applyFont="1" applyFill="1" applyBorder="1" applyAlignment="1">
      <alignment vertical="center" wrapText="1"/>
    </xf>
    <xf numFmtId="9" fontId="10" fillId="0" borderId="6" xfId="0" applyNumberFormat="1" applyFont="1" applyBorder="1" applyAlignment="1">
      <alignment horizontal="right" vertical="center" wrapText="1"/>
    </xf>
    <xf numFmtId="166" fontId="10" fillId="0" borderId="6" xfId="0" applyNumberFormat="1" applyFont="1" applyBorder="1" applyAlignment="1">
      <alignment horizontal="right" vertical="center" wrapText="1"/>
    </xf>
    <xf numFmtId="166" fontId="12" fillId="0" borderId="6" xfId="0" applyNumberFormat="1" applyFont="1" applyBorder="1" applyAlignment="1">
      <alignment horizontal="right" vertical="center" wrapText="1"/>
    </xf>
    <xf numFmtId="0" fontId="5" fillId="0" borderId="0" xfId="0" applyFont="1" applyAlignment="1">
      <alignment horizontal="center"/>
    </xf>
    <xf numFmtId="0" fontId="9" fillId="9" borderId="6" xfId="0" applyFont="1" applyFill="1" applyBorder="1" applyAlignment="1">
      <alignment vertical="center" wrapText="1"/>
    </xf>
    <xf numFmtId="0" fontId="9" fillId="9" borderId="6" xfId="0" applyFont="1" applyFill="1" applyBorder="1" applyAlignment="1">
      <alignment vertical="center"/>
    </xf>
    <xf numFmtId="0" fontId="9" fillId="9" borderId="6" xfId="0" applyFont="1" applyFill="1" applyBorder="1" applyAlignment="1">
      <alignment horizontal="center" vertical="center"/>
    </xf>
    <xf numFmtId="0" fontId="9" fillId="9" borderId="6" xfId="0" applyFont="1" applyFill="1" applyBorder="1" applyAlignment="1">
      <alignment horizontal="center" vertical="center" wrapText="1"/>
    </xf>
    <xf numFmtId="0" fontId="10" fillId="0" borderId="6" xfId="0" applyFont="1" applyBorder="1" applyAlignment="1">
      <alignment horizontal="center" vertical="center" wrapText="1"/>
    </xf>
    <xf numFmtId="10" fontId="10" fillId="0" borderId="6" xfId="0" applyNumberFormat="1" applyFont="1" applyBorder="1" applyAlignment="1">
      <alignment horizontal="center" vertical="center" wrapText="1"/>
    </xf>
    <xf numFmtId="0" fontId="10" fillId="0" borderId="6" xfId="0" applyFont="1" applyBorder="1" applyAlignment="1">
      <alignment horizontal="left" vertical="center" wrapText="1"/>
    </xf>
    <xf numFmtId="3" fontId="10" fillId="0" borderId="6" xfId="0" applyNumberFormat="1" applyFont="1" applyBorder="1" applyAlignment="1">
      <alignment horizontal="center" vertical="center" wrapText="1"/>
    </xf>
    <xf numFmtId="2" fontId="10" fillId="0" borderId="6" xfId="0" applyNumberFormat="1" applyFont="1" applyBorder="1" applyAlignment="1">
      <alignment horizontal="center" vertical="center" wrapText="1"/>
    </xf>
    <xf numFmtId="0" fontId="14" fillId="0" borderId="6" xfId="0" applyFont="1" applyBorder="1" applyAlignment="1">
      <alignment vertical="center" wrapText="1"/>
    </xf>
    <xf numFmtId="0" fontId="14" fillId="0" borderId="6" xfId="0" applyFont="1" applyBorder="1" applyAlignment="1">
      <alignment horizontal="center" vertical="center" wrapText="1"/>
    </xf>
    <xf numFmtId="0" fontId="15" fillId="8" borderId="6" xfId="0" applyFont="1" applyFill="1" applyBorder="1" applyAlignment="1">
      <alignment horizontal="center" vertical="center" wrapText="1"/>
    </xf>
    <xf numFmtId="0" fontId="17" fillId="5" borderId="6" xfId="0" applyFont="1" applyFill="1" applyBorder="1" applyAlignment="1">
      <alignment vertical="center" wrapText="1"/>
    </xf>
    <xf numFmtId="166" fontId="18" fillId="0" borderId="6" xfId="0" applyNumberFormat="1" applyFont="1" applyBorder="1" applyAlignment="1">
      <alignment horizontal="right" vertical="center" wrapText="1"/>
    </xf>
    <xf numFmtId="0" fontId="0" fillId="0" borderId="0" xfId="0" applyAlignment="1">
      <alignment horizontal="center"/>
    </xf>
    <xf numFmtId="0" fontId="17" fillId="5" borderId="6" xfId="0" applyFont="1" applyFill="1" applyBorder="1" applyAlignment="1">
      <alignment horizontal="center" vertical="center" wrapText="1"/>
    </xf>
    <xf numFmtId="0" fontId="17" fillId="5" borderId="6" xfId="0" applyFont="1" applyFill="1" applyBorder="1"/>
    <xf numFmtId="166" fontId="17" fillId="5" borderId="6" xfId="0" applyNumberFormat="1" applyFont="1" applyFill="1" applyBorder="1" applyAlignment="1">
      <alignment horizontal="right" vertical="center" wrapText="1"/>
    </xf>
    <xf numFmtId="0" fontId="18" fillId="5" borderId="6" xfId="0" applyFont="1" applyFill="1" applyBorder="1"/>
    <xf numFmtId="167" fontId="0" fillId="0" borderId="0" xfId="0" applyNumberFormat="1"/>
    <xf numFmtId="0" fontId="19" fillId="8" borderId="6" xfId="0" applyFont="1" applyFill="1" applyBorder="1" applyAlignment="1">
      <alignment vertical="center" wrapText="1"/>
    </xf>
    <xf numFmtId="0" fontId="19" fillId="8" borderId="6" xfId="0" applyFont="1" applyFill="1" applyBorder="1" applyAlignment="1">
      <alignment horizontal="center" vertical="center" wrapText="1"/>
    </xf>
    <xf numFmtId="166" fontId="20" fillId="0" borderId="6" xfId="0" applyNumberFormat="1" applyFont="1" applyBorder="1" applyAlignment="1">
      <alignment horizontal="right" vertical="center" wrapText="1"/>
    </xf>
    <xf numFmtId="0" fontId="15" fillId="8" borderId="6" xfId="0" applyFont="1" applyFill="1" applyBorder="1" applyAlignment="1">
      <alignment vertical="center" wrapText="1"/>
    </xf>
    <xf numFmtId="166" fontId="17" fillId="5" borderId="6" xfId="0" applyNumberFormat="1" applyFont="1" applyFill="1" applyBorder="1" applyAlignment="1">
      <alignment horizontal="center" vertical="center" wrapText="1"/>
    </xf>
    <xf numFmtId="0" fontId="15" fillId="8" borderId="17" xfId="0" applyFont="1" applyFill="1" applyBorder="1" applyAlignment="1">
      <alignment vertical="center" wrapText="1"/>
    </xf>
    <xf numFmtId="0" fontId="15" fillId="8" borderId="18" xfId="0" applyFont="1" applyFill="1" applyBorder="1" applyAlignment="1">
      <alignment horizontal="center" vertical="center" wrapText="1"/>
    </xf>
    <xf numFmtId="0" fontId="17" fillId="0" borderId="0" xfId="0" applyFont="1"/>
    <xf numFmtId="9" fontId="17" fillId="0" borderId="0" xfId="0" applyNumberFormat="1" applyFont="1"/>
    <xf numFmtId="10" fontId="17" fillId="0" borderId="0" xfId="0" applyNumberFormat="1" applyFont="1"/>
    <xf numFmtId="0" fontId="15" fillId="8" borderId="6" xfId="0" applyFont="1" applyFill="1" applyBorder="1"/>
    <xf numFmtId="0" fontId="15" fillId="8" borderId="6" xfId="0" applyFont="1" applyFill="1" applyBorder="1" applyAlignment="1">
      <alignment horizontal="center"/>
    </xf>
    <xf numFmtId="0" fontId="17" fillId="0" borderId="6" xfId="0" applyFont="1" applyBorder="1"/>
    <xf numFmtId="165" fontId="17" fillId="5" borderId="6" xfId="0" applyNumberFormat="1" applyFont="1" applyFill="1" applyBorder="1"/>
    <xf numFmtId="165" fontId="17" fillId="0" borderId="6" xfId="0" applyNumberFormat="1" applyFont="1" applyBorder="1"/>
    <xf numFmtId="0" fontId="18" fillId="0" borderId="6" xfId="0" applyFont="1" applyBorder="1"/>
    <xf numFmtId="165" fontId="18" fillId="0" borderId="6" xfId="0" applyNumberFormat="1" applyFont="1" applyBorder="1"/>
    <xf numFmtId="0" fontId="22" fillId="0" borderId="0" xfId="0" applyFont="1" applyAlignment="1">
      <alignment horizontal="center"/>
    </xf>
    <xf numFmtId="0" fontId="18" fillId="8" borderId="6" xfId="0" applyFont="1" applyFill="1" applyBorder="1"/>
    <xf numFmtId="0" fontId="15" fillId="8" borderId="6" xfId="0" applyFont="1" applyFill="1" applyBorder="1" applyAlignment="1">
      <alignment horizontal="center" wrapText="1"/>
    </xf>
    <xf numFmtId="0" fontId="18" fillId="0" borderId="6" xfId="0" applyFont="1" applyBorder="1" applyAlignment="1">
      <alignment horizontal="center"/>
    </xf>
    <xf numFmtId="0" fontId="24" fillId="0" borderId="6" xfId="0" applyFont="1" applyBorder="1"/>
    <xf numFmtId="0" fontId="25" fillId="0" borderId="6" xfId="0" applyFont="1" applyBorder="1" applyAlignment="1">
      <alignment horizontal="center"/>
    </xf>
    <xf numFmtId="0" fontId="17" fillId="0" borderId="6" xfId="0" applyFont="1" applyBorder="1" applyAlignment="1">
      <alignment horizontal="left"/>
    </xf>
    <xf numFmtId="0" fontId="18" fillId="0" borderId="6" xfId="0" applyFont="1" applyBorder="1" applyAlignment="1">
      <alignment horizontal="left"/>
    </xf>
    <xf numFmtId="166" fontId="16" fillId="0" borderId="6" xfId="0" applyNumberFormat="1" applyFont="1" applyBorder="1"/>
    <xf numFmtId="166" fontId="26" fillId="0" borderId="6" xfId="0" applyNumberFormat="1" applyFont="1" applyBorder="1"/>
    <xf numFmtId="0" fontId="17" fillId="0" borderId="0" xfId="0" applyFont="1" applyAlignment="1">
      <alignment horizontal="left"/>
    </xf>
    <xf numFmtId="166" fontId="16" fillId="0" borderId="0" xfId="0" applyNumberFormat="1" applyFont="1"/>
    <xf numFmtId="0" fontId="18" fillId="0" borderId="0" xfId="0" applyFont="1" applyAlignment="1">
      <alignment horizontal="center"/>
    </xf>
    <xf numFmtId="0" fontId="18" fillId="0" borderId="0" xfId="0" applyFont="1"/>
    <xf numFmtId="0" fontId="18" fillId="0" borderId="0" xfId="0" applyFont="1" applyAlignment="1">
      <alignment wrapText="1"/>
    </xf>
    <xf numFmtId="0" fontId="17" fillId="0" borderId="0" xfId="0" applyFont="1" applyAlignment="1">
      <alignment wrapText="1"/>
    </xf>
    <xf numFmtId="0" fontId="27" fillId="0" borderId="0" xfId="0" applyFont="1"/>
    <xf numFmtId="0" fontId="28" fillId="0" borderId="0" xfId="0" applyFont="1"/>
    <xf numFmtId="0" fontId="15" fillId="9" borderId="6" xfId="0" applyFont="1" applyFill="1" applyBorder="1" applyAlignment="1">
      <alignment vertical="center"/>
    </xf>
    <xf numFmtId="0" fontId="15" fillId="9" borderId="6" xfId="0" applyFont="1" applyFill="1" applyBorder="1" applyAlignment="1">
      <alignment horizontal="center" vertical="center"/>
    </xf>
    <xf numFmtId="166" fontId="29" fillId="9" borderId="6" xfId="0" applyNumberFormat="1" applyFont="1" applyFill="1" applyBorder="1" applyAlignment="1">
      <alignment horizontal="center"/>
    </xf>
    <xf numFmtId="166" fontId="27" fillId="0" borderId="0" xfId="0" applyNumberFormat="1" applyFont="1"/>
    <xf numFmtId="0" fontId="26" fillId="0" borderId="6" xfId="0" applyFont="1" applyBorder="1" applyAlignment="1">
      <alignment vertical="center"/>
    </xf>
    <xf numFmtId="0" fontId="26" fillId="0" borderId="6" xfId="0" applyFont="1" applyBorder="1" applyAlignment="1">
      <alignment horizontal="center" vertical="center"/>
    </xf>
    <xf numFmtId="0" fontId="26" fillId="0" borderId="6" xfId="0" applyFont="1" applyBorder="1"/>
    <xf numFmtId="0" fontId="16" fillId="0" borderId="6" xfId="0" applyFont="1" applyBorder="1"/>
    <xf numFmtId="166" fontId="22" fillId="0" borderId="0" xfId="0" applyNumberFormat="1" applyFont="1"/>
    <xf numFmtId="38" fontId="22" fillId="0" borderId="0" xfId="0" applyNumberFormat="1" applyFont="1" applyAlignment="1">
      <alignment horizontal="left"/>
    </xf>
    <xf numFmtId="0" fontId="22" fillId="0" borderId="0" xfId="0" applyFont="1"/>
    <xf numFmtId="168" fontId="16" fillId="0" borderId="6" xfId="0" applyNumberFormat="1" applyFont="1" applyBorder="1" applyAlignment="1">
      <alignment vertical="center"/>
    </xf>
    <xf numFmtId="169" fontId="22" fillId="0" borderId="0" xfId="0" applyNumberFormat="1" applyFont="1" applyAlignment="1">
      <alignment vertical="center"/>
    </xf>
    <xf numFmtId="168" fontId="26" fillId="0" borderId="6" xfId="0" applyNumberFormat="1" applyFont="1" applyBorder="1" applyAlignment="1">
      <alignment vertical="center"/>
    </xf>
    <xf numFmtId="0" fontId="0" fillId="0" borderId="24" xfId="0" applyBorder="1"/>
    <xf numFmtId="0" fontId="22" fillId="0" borderId="24" xfId="0" applyFont="1" applyBorder="1"/>
    <xf numFmtId="165" fontId="17" fillId="0" borderId="0" xfId="0" applyNumberFormat="1" applyFont="1"/>
    <xf numFmtId="0" fontId="17" fillId="6" borderId="23" xfId="0" applyFont="1" applyFill="1" applyBorder="1"/>
    <xf numFmtId="170" fontId="17" fillId="0" borderId="0" xfId="0" applyNumberFormat="1" applyFont="1"/>
    <xf numFmtId="169" fontId="17" fillId="0" borderId="0" xfId="0" applyNumberFormat="1" applyFont="1"/>
    <xf numFmtId="0" fontId="15" fillId="8" borderId="6" xfId="0" applyFont="1" applyFill="1" applyBorder="1" applyAlignment="1">
      <alignment horizontal="right"/>
    </xf>
    <xf numFmtId="2" fontId="15" fillId="8" borderId="6" xfId="0" applyNumberFormat="1" applyFont="1" applyFill="1" applyBorder="1" applyAlignment="1">
      <alignment horizontal="right"/>
    </xf>
    <xf numFmtId="2" fontId="0" fillId="0" borderId="0" xfId="0" applyNumberFormat="1"/>
    <xf numFmtId="2" fontId="17" fillId="0" borderId="0" xfId="0" applyNumberFormat="1" applyFont="1"/>
    <xf numFmtId="0" fontId="8" fillId="0" borderId="0" xfId="0" applyFont="1"/>
    <xf numFmtId="0" fontId="15" fillId="9" borderId="6" xfId="0" applyFont="1" applyFill="1" applyBorder="1"/>
    <xf numFmtId="0" fontId="15" fillId="9" borderId="6" xfId="0" applyFont="1" applyFill="1" applyBorder="1" applyAlignment="1">
      <alignment horizontal="center"/>
    </xf>
    <xf numFmtId="0" fontId="16" fillId="5" borderId="23" xfId="0" applyFont="1" applyFill="1" applyBorder="1"/>
    <xf numFmtId="9" fontId="17" fillId="0" borderId="6" xfId="0" applyNumberFormat="1" applyFont="1" applyBorder="1"/>
    <xf numFmtId="0" fontId="26" fillId="5" borderId="6" xfId="0" applyFont="1" applyFill="1" applyBorder="1"/>
    <xf numFmtId="0" fontId="26" fillId="9" borderId="6" xfId="0" applyFont="1" applyFill="1" applyBorder="1"/>
    <xf numFmtId="0" fontId="16" fillId="5" borderId="6" xfId="0" applyFont="1" applyFill="1" applyBorder="1"/>
    <xf numFmtId="165" fontId="16" fillId="5" borderId="6" xfId="0" applyNumberFormat="1" applyFont="1" applyFill="1" applyBorder="1"/>
    <xf numFmtId="2" fontId="16" fillId="5" borderId="6" xfId="0" applyNumberFormat="1" applyFont="1" applyFill="1" applyBorder="1"/>
    <xf numFmtId="171" fontId="16" fillId="5" borderId="6" xfId="0" applyNumberFormat="1" applyFont="1" applyFill="1" applyBorder="1"/>
    <xf numFmtId="0" fontId="0" fillId="0" borderId="6" xfId="0" applyBorder="1"/>
    <xf numFmtId="9" fontId="17" fillId="6" borderId="6" xfId="0" applyNumberFormat="1" applyFont="1" applyFill="1" applyBorder="1"/>
    <xf numFmtId="2" fontId="26" fillId="5" borderId="6" xfId="0" applyNumberFormat="1" applyFont="1" applyFill="1" applyBorder="1"/>
    <xf numFmtId="0" fontId="30" fillId="0" borderId="0" xfId="0" applyFont="1"/>
    <xf numFmtId="0" fontId="0" fillId="0" borderId="0" xfId="0" applyAlignment="1">
      <alignment wrapText="1"/>
    </xf>
    <xf numFmtId="0" fontId="26" fillId="0" borderId="6" xfId="0" applyFont="1" applyBorder="1" applyAlignment="1">
      <alignment horizontal="center" vertical="center" wrapText="1"/>
    </xf>
    <xf numFmtId="0" fontId="26" fillId="0" borderId="6" xfId="0" applyFont="1" applyBorder="1" applyAlignment="1">
      <alignment horizontal="left" vertical="center" wrapText="1"/>
    </xf>
    <xf numFmtId="165" fontId="16" fillId="0" borderId="6"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18" fillId="0" borderId="6" xfId="0" applyFont="1" applyBorder="1" applyAlignment="1">
      <alignment vertical="center" wrapText="1"/>
    </xf>
    <xf numFmtId="165" fontId="17" fillId="0" borderId="6" xfId="0" applyNumberFormat="1" applyFont="1" applyBorder="1" applyAlignment="1">
      <alignment horizontal="right" vertical="center" wrapText="1"/>
    </xf>
    <xf numFmtId="0" fontId="17" fillId="0" borderId="6" xfId="0" applyFont="1" applyBorder="1" applyAlignment="1">
      <alignment horizontal="center" vertical="center" wrapText="1"/>
    </xf>
    <xf numFmtId="0" fontId="17" fillId="0" borderId="6" xfId="0" applyFont="1" applyBorder="1" applyAlignment="1">
      <alignment vertical="center" wrapText="1"/>
    </xf>
    <xf numFmtId="165" fontId="18" fillId="0" borderId="6" xfId="0" applyNumberFormat="1" applyFont="1" applyBorder="1" applyAlignment="1">
      <alignment horizontal="right" vertical="center" wrapText="1"/>
    </xf>
    <xf numFmtId="0" fontId="17" fillId="0" borderId="6" xfId="0" applyFont="1" applyBorder="1" applyAlignment="1">
      <alignment horizontal="right" vertical="center" wrapText="1"/>
    </xf>
    <xf numFmtId="164" fontId="0" fillId="0" borderId="0" xfId="0" applyNumberFormat="1"/>
    <xf numFmtId="9" fontId="0" fillId="0" borderId="0" xfId="0" applyNumberFormat="1"/>
    <xf numFmtId="165" fontId="0" fillId="0" borderId="0" xfId="0" applyNumberFormat="1"/>
    <xf numFmtId="165" fontId="2" fillId="0" borderId="0" xfId="0" applyNumberFormat="1" applyFont="1"/>
    <xf numFmtId="0" fontId="33" fillId="0" borderId="0" xfId="0" applyFont="1"/>
    <xf numFmtId="0" fontId="5" fillId="0" borderId="0" xfId="0" applyFont="1"/>
    <xf numFmtId="0" fontId="18" fillId="0" borderId="6" xfId="0" applyFont="1" applyBorder="1" applyAlignment="1">
      <alignment wrapText="1"/>
    </xf>
    <xf numFmtId="165" fontId="18" fillId="0" borderId="6" xfId="0" applyNumberFormat="1" applyFont="1" applyBorder="1" applyAlignment="1">
      <alignment wrapText="1"/>
    </xf>
    <xf numFmtId="0" fontId="17" fillId="0" borderId="6" xfId="0" applyFont="1" applyBorder="1" applyAlignment="1">
      <alignment wrapText="1"/>
    </xf>
    <xf numFmtId="4" fontId="0" fillId="0" borderId="0" xfId="0" applyNumberFormat="1"/>
    <xf numFmtId="10" fontId="0" fillId="0" borderId="0" xfId="0" applyNumberFormat="1"/>
    <xf numFmtId="2" fontId="17" fillId="0" borderId="6" xfId="0" applyNumberFormat="1" applyFont="1" applyBorder="1"/>
    <xf numFmtId="9" fontId="5" fillId="6" borderId="23" xfId="0" applyNumberFormat="1" applyFont="1" applyFill="1" applyBorder="1"/>
    <xf numFmtId="172" fontId="17" fillId="0" borderId="6" xfId="0" applyNumberFormat="1" applyFont="1" applyBorder="1"/>
    <xf numFmtId="164" fontId="17" fillId="0" borderId="6" xfId="0" applyNumberFormat="1" applyFont="1" applyBorder="1"/>
    <xf numFmtId="0" fontId="35" fillId="0" borderId="0" xfId="0" applyFont="1"/>
    <xf numFmtId="0" fontId="36" fillId="9" borderId="6" xfId="0" applyFont="1" applyFill="1" applyBorder="1"/>
    <xf numFmtId="0" fontId="36" fillId="9" borderId="6" xfId="0" applyFont="1" applyFill="1" applyBorder="1" applyAlignment="1">
      <alignment horizontal="center"/>
    </xf>
    <xf numFmtId="0" fontId="36" fillId="0" borderId="0" xfId="0" applyFont="1" applyAlignment="1">
      <alignment horizontal="center"/>
    </xf>
    <xf numFmtId="0" fontId="0" fillId="5" borderId="6" xfId="0" applyFill="1" applyBorder="1"/>
    <xf numFmtId="1" fontId="0" fillId="0" borderId="0" xfId="0" applyNumberFormat="1"/>
    <xf numFmtId="0" fontId="5" fillId="0" borderId="6" xfId="0" applyFont="1" applyBorder="1"/>
    <xf numFmtId="165" fontId="5" fillId="0" borderId="0" xfId="0" applyNumberFormat="1" applyFont="1"/>
    <xf numFmtId="0" fontId="5" fillId="5" borderId="6" xfId="0" applyFont="1" applyFill="1" applyBorder="1"/>
    <xf numFmtId="174" fontId="0" fillId="0" borderId="0" xfId="0" applyNumberFormat="1"/>
    <xf numFmtId="0" fontId="36" fillId="9" borderId="6" xfId="0" applyFont="1" applyFill="1" applyBorder="1" applyAlignment="1">
      <alignment wrapText="1"/>
    </xf>
    <xf numFmtId="0" fontId="5" fillId="0" borderId="24" xfId="0" applyFont="1" applyBorder="1" applyAlignment="1">
      <alignment wrapText="1"/>
    </xf>
    <xf numFmtId="9" fontId="0" fillId="5" borderId="6" xfId="0" applyNumberFormat="1" applyFill="1" applyBorder="1"/>
    <xf numFmtId="0" fontId="0" fillId="6" borderId="6" xfId="0" applyFill="1" applyBorder="1"/>
    <xf numFmtId="9" fontId="0" fillId="6" borderId="6" xfId="0" applyNumberFormat="1" applyFill="1" applyBorder="1"/>
    <xf numFmtId="0" fontId="0" fillId="0" borderId="9" xfId="0" applyBorder="1" applyAlignment="1">
      <alignment horizontal="center" vertical="center"/>
    </xf>
    <xf numFmtId="0" fontId="0" fillId="0" borderId="8" xfId="0" applyBorder="1" applyAlignment="1">
      <alignment vertical="center" wrapText="1"/>
    </xf>
    <xf numFmtId="0" fontId="0" fillId="0" borderId="9" xfId="0" applyBorder="1" applyAlignment="1">
      <alignment vertical="center" wrapText="1"/>
    </xf>
    <xf numFmtId="9" fontId="36" fillId="6" borderId="6" xfId="0" applyNumberFormat="1" applyFont="1" applyFill="1" applyBorder="1"/>
    <xf numFmtId="9" fontId="36" fillId="6" borderId="6" xfId="0" applyNumberFormat="1" applyFont="1" applyFill="1" applyBorder="1" applyAlignment="1">
      <alignment horizontal="center"/>
    </xf>
    <xf numFmtId="9" fontId="37" fillId="6" borderId="6" xfId="0" applyNumberFormat="1" applyFont="1" applyFill="1" applyBorder="1"/>
    <xf numFmtId="174" fontId="37" fillId="6" borderId="6" xfId="0" applyNumberFormat="1" applyFont="1" applyFill="1" applyBorder="1"/>
    <xf numFmtId="0" fontId="5" fillId="0" borderId="9" xfId="0" applyFont="1" applyBorder="1" applyAlignment="1">
      <alignment horizontal="center" vertical="center"/>
    </xf>
    <xf numFmtId="0" fontId="17" fillId="5" borderId="23" xfId="0" applyFont="1" applyFill="1" applyBorder="1"/>
    <xf numFmtId="9" fontId="0" fillId="0" borderId="6" xfId="0" applyNumberFormat="1" applyBorder="1"/>
    <xf numFmtId="166" fontId="18" fillId="0" borderId="6" xfId="0" applyNumberFormat="1" applyFont="1" applyBorder="1"/>
    <xf numFmtId="166" fontId="17" fillId="0" borderId="6" xfId="0" applyNumberFormat="1" applyFont="1" applyBorder="1"/>
    <xf numFmtId="9" fontId="18" fillId="0" borderId="0" xfId="0" applyNumberFormat="1" applyFont="1" applyAlignment="1">
      <alignment horizontal="center"/>
    </xf>
    <xf numFmtId="10" fontId="18" fillId="0" borderId="0" xfId="0" applyNumberFormat="1" applyFont="1" applyAlignment="1">
      <alignment horizontal="center"/>
    </xf>
    <xf numFmtId="165" fontId="18" fillId="5" borderId="6" xfId="0" applyNumberFormat="1" applyFont="1" applyFill="1" applyBorder="1"/>
    <xf numFmtId="164" fontId="17" fillId="0" borderId="0" xfId="0" applyNumberFormat="1" applyFont="1"/>
    <xf numFmtId="1" fontId="17" fillId="0" borderId="6" xfId="0" applyNumberFormat="1" applyFont="1" applyBorder="1"/>
    <xf numFmtId="0" fontId="17" fillId="6" borderId="6" xfId="0" applyFont="1" applyFill="1" applyBorder="1"/>
    <xf numFmtId="165" fontId="0" fillId="0" borderId="2" xfId="0" applyNumberFormat="1" applyBorder="1"/>
    <xf numFmtId="0" fontId="17" fillId="5" borderId="6" xfId="0" applyFont="1" applyFill="1" applyBorder="1" applyAlignment="1">
      <alignment wrapText="1"/>
    </xf>
    <xf numFmtId="167" fontId="17" fillId="0" borderId="0" xfId="0" applyNumberFormat="1" applyFont="1"/>
    <xf numFmtId="1" fontId="17" fillId="0" borderId="0" xfId="0" applyNumberFormat="1" applyFont="1"/>
    <xf numFmtId="0" fontId="36" fillId="9" borderId="10" xfId="0" applyFont="1" applyFill="1" applyBorder="1" applyAlignment="1">
      <alignment wrapText="1"/>
    </xf>
    <xf numFmtId="0" fontId="0" fillId="0" borderId="6" xfId="0" applyBorder="1" applyAlignment="1">
      <alignment horizontal="center"/>
    </xf>
    <xf numFmtId="165" fontId="17" fillId="5" borderId="6" xfId="0" applyNumberFormat="1" applyFont="1" applyFill="1" applyBorder="1" applyAlignment="1">
      <alignment wrapText="1"/>
    </xf>
    <xf numFmtId="165" fontId="18" fillId="0" borderId="0" xfId="0" applyNumberFormat="1" applyFont="1"/>
    <xf numFmtId="166" fontId="17" fillId="5" borderId="6" xfId="0" applyNumberFormat="1" applyFont="1" applyFill="1" applyBorder="1"/>
    <xf numFmtId="166" fontId="17" fillId="0" borderId="0" xfId="0" applyNumberFormat="1" applyFont="1"/>
    <xf numFmtId="165" fontId="17" fillId="0" borderId="4" xfId="0" applyNumberFormat="1" applyFont="1" applyBorder="1"/>
    <xf numFmtId="0" fontId="36" fillId="9" borderId="27" xfId="0" applyFont="1" applyFill="1" applyBorder="1" applyAlignment="1">
      <alignment wrapText="1"/>
    </xf>
    <xf numFmtId="165" fontId="18" fillId="0" borderId="27" xfId="0" applyNumberFormat="1" applyFont="1" applyBorder="1"/>
    <xf numFmtId="43" fontId="0" fillId="0" borderId="0" xfId="0" applyNumberFormat="1"/>
    <xf numFmtId="0" fontId="42" fillId="0" borderId="0" xfId="0" applyFont="1"/>
    <xf numFmtId="166" fontId="41" fillId="12" borderId="6" xfId="0" applyNumberFormat="1" applyFont="1" applyFill="1" applyBorder="1" applyAlignment="1">
      <alignment horizontal="right" vertical="center" wrapText="1"/>
    </xf>
    <xf numFmtId="0" fontId="41" fillId="0" borderId="6" xfId="0" applyFont="1" applyBorder="1"/>
    <xf numFmtId="43" fontId="0" fillId="11" borderId="0" xfId="0" applyNumberFormat="1" applyFill="1"/>
    <xf numFmtId="0" fontId="0" fillId="0" borderId="23" xfId="0" applyBorder="1"/>
    <xf numFmtId="4" fontId="17" fillId="0" borderId="23" xfId="0" applyNumberFormat="1" applyFont="1" applyBorder="1"/>
    <xf numFmtId="13" fontId="0" fillId="0" borderId="0" xfId="0" applyNumberFormat="1"/>
    <xf numFmtId="175" fontId="17" fillId="0" borderId="6" xfId="0" applyNumberFormat="1" applyFont="1" applyBorder="1"/>
    <xf numFmtId="10" fontId="18" fillId="13" borderId="0" xfId="0" applyNumberFormat="1" applyFont="1" applyFill="1" applyAlignment="1">
      <alignment horizontal="center"/>
    </xf>
    <xf numFmtId="10" fontId="17" fillId="13" borderId="0" xfId="0" applyNumberFormat="1" applyFont="1" applyFill="1"/>
    <xf numFmtId="0" fontId="17" fillId="0" borderId="23" xfId="0" applyFont="1" applyBorder="1"/>
    <xf numFmtId="4" fontId="0" fillId="0" borderId="23" xfId="0" applyNumberFormat="1" applyBorder="1"/>
    <xf numFmtId="0" fontId="34" fillId="0" borderId="23" xfId="0" applyFont="1" applyBorder="1" applyAlignment="1">
      <alignment horizontal="center"/>
    </xf>
    <xf numFmtId="165" fontId="17" fillId="0" borderId="23" xfId="0" applyNumberFormat="1" applyFont="1" applyBorder="1"/>
    <xf numFmtId="0" fontId="15" fillId="0" borderId="23" xfId="0" applyFont="1" applyBorder="1" applyAlignment="1">
      <alignment horizontal="center"/>
    </xf>
    <xf numFmtId="3" fontId="17" fillId="0" borderId="23" xfId="0" applyNumberFormat="1" applyFont="1" applyBorder="1"/>
    <xf numFmtId="2" fontId="17" fillId="0" borderId="23" xfId="0" applyNumberFormat="1" applyFont="1" applyBorder="1"/>
    <xf numFmtId="0" fontId="20" fillId="0" borderId="0" xfId="0" applyFont="1" applyAlignment="1">
      <alignment horizontal="center" wrapText="1"/>
    </xf>
    <xf numFmtId="9" fontId="11" fillId="0" borderId="6" xfId="0" applyNumberFormat="1" applyFont="1" applyBorder="1"/>
    <xf numFmtId="0" fontId="16" fillId="0" borderId="6" xfId="0" applyFont="1" applyBorder="1" applyAlignment="1">
      <alignment vertical="center" wrapText="1"/>
    </xf>
    <xf numFmtId="0" fontId="16" fillId="0" borderId="6" xfId="0" applyFont="1" applyBorder="1" applyAlignment="1">
      <alignment horizontal="left" vertical="center" wrapText="1"/>
    </xf>
    <xf numFmtId="0" fontId="16" fillId="0" borderId="6" xfId="0" applyFont="1" applyBorder="1" applyAlignment="1">
      <alignment horizontal="center" vertical="center" wrapText="1"/>
    </xf>
    <xf numFmtId="167" fontId="16" fillId="0" borderId="6" xfId="0" applyNumberFormat="1" applyFont="1" applyBorder="1" applyAlignment="1">
      <alignment horizontal="right" vertical="center" wrapText="1"/>
    </xf>
    <xf numFmtId="0" fontId="39" fillId="0" borderId="6" xfId="0" applyFont="1" applyBorder="1" applyAlignment="1">
      <alignment vertical="center" wrapText="1"/>
    </xf>
    <xf numFmtId="0" fontId="40" fillId="0" borderId="6" xfId="0" applyFont="1" applyBorder="1" applyAlignment="1">
      <alignment vertical="center" wrapText="1"/>
    </xf>
    <xf numFmtId="165" fontId="39" fillId="0" borderId="6" xfId="0" applyNumberFormat="1" applyFont="1" applyBorder="1" applyAlignment="1">
      <alignment horizontal="left" vertical="center" wrapText="1"/>
    </xf>
    <xf numFmtId="165" fontId="39" fillId="0" borderId="6" xfId="0" applyNumberFormat="1" applyFont="1" applyBorder="1" applyAlignment="1">
      <alignment vertical="center" wrapText="1"/>
    </xf>
    <xf numFmtId="165" fontId="39" fillId="0" borderId="6" xfId="0" applyNumberFormat="1" applyFont="1" applyBorder="1" applyAlignment="1">
      <alignment horizontal="right" vertical="center" wrapText="1"/>
    </xf>
    <xf numFmtId="165" fontId="16" fillId="0" borderId="6" xfId="0" applyNumberFormat="1" applyFont="1" applyBorder="1" applyAlignment="1">
      <alignment horizontal="left" vertical="center" wrapText="1"/>
    </xf>
    <xf numFmtId="165" fontId="16" fillId="0" borderId="6" xfId="0" applyNumberFormat="1" applyFont="1" applyBorder="1" applyAlignment="1">
      <alignment vertical="center" wrapText="1"/>
    </xf>
    <xf numFmtId="165" fontId="16" fillId="0" borderId="6" xfId="0" applyNumberFormat="1" applyFont="1" applyBorder="1" applyAlignment="1">
      <alignment horizontal="right" vertical="center" wrapText="1"/>
    </xf>
    <xf numFmtId="166" fontId="17" fillId="0" borderId="6" xfId="0" applyNumberFormat="1" applyFont="1" applyBorder="1" applyAlignment="1">
      <alignment horizontal="right" vertical="center" wrapText="1"/>
    </xf>
    <xf numFmtId="166" fontId="40" fillId="0" borderId="6" xfId="0" applyNumberFormat="1" applyFont="1" applyBorder="1" applyAlignment="1">
      <alignment horizontal="right" vertical="center" wrapText="1"/>
    </xf>
    <xf numFmtId="0" fontId="40" fillId="0" borderId="6" xfId="0" applyFont="1" applyBorder="1" applyAlignment="1">
      <alignment horizontal="center" vertical="center" wrapText="1"/>
    </xf>
    <xf numFmtId="0" fontId="41" fillId="0" borderId="6" xfId="0" applyFont="1" applyBorder="1" applyAlignment="1">
      <alignment vertical="center" wrapText="1"/>
    </xf>
    <xf numFmtId="166" fontId="14" fillId="0" borderId="6" xfId="0" applyNumberFormat="1" applyFont="1" applyBorder="1" applyAlignment="1">
      <alignment horizontal="center" vertical="center" wrapText="1"/>
    </xf>
    <xf numFmtId="166" fontId="14" fillId="0" borderId="6" xfId="0" applyNumberFormat="1" applyFont="1" applyBorder="1" applyAlignment="1">
      <alignment horizontal="right" vertical="center" wrapText="1"/>
    </xf>
    <xf numFmtId="0" fontId="17" fillId="0" borderId="19" xfId="0" applyFont="1" applyBorder="1" applyAlignment="1">
      <alignment horizontal="right" vertical="center" wrapText="1"/>
    </xf>
    <xf numFmtId="0" fontId="17" fillId="0" borderId="20" xfId="0" applyFont="1" applyBorder="1" applyAlignment="1">
      <alignment vertical="center" wrapText="1"/>
    </xf>
    <xf numFmtId="166" fontId="17" fillId="0" borderId="20" xfId="0" applyNumberFormat="1" applyFont="1" applyBorder="1" applyAlignment="1">
      <alignment horizontal="right" vertical="center" wrapText="1"/>
    </xf>
    <xf numFmtId="166" fontId="18" fillId="0" borderId="20" xfId="0" applyNumberFormat="1" applyFont="1" applyBorder="1" applyAlignment="1">
      <alignment horizontal="right" vertical="center" wrapText="1"/>
    </xf>
    <xf numFmtId="0" fontId="23" fillId="0" borderId="0" xfId="0" applyFont="1"/>
    <xf numFmtId="9" fontId="22" fillId="0" borderId="23" xfId="0" applyNumberFormat="1" applyFont="1" applyBorder="1"/>
    <xf numFmtId="10" fontId="17" fillId="0" borderId="23" xfId="0" applyNumberFormat="1" applyFont="1" applyBorder="1"/>
    <xf numFmtId="0" fontId="18" fillId="0" borderId="5" xfId="0" applyFont="1" applyBorder="1" applyAlignment="1">
      <alignment horizontal="center" vertical="center" wrapText="1"/>
    </xf>
    <xf numFmtId="9" fontId="18" fillId="0" borderId="6" xfId="0" applyNumberFormat="1" applyFont="1" applyBorder="1" applyAlignment="1">
      <alignment horizontal="center" vertical="center" wrapText="1"/>
    </xf>
    <xf numFmtId="9" fontId="18" fillId="0" borderId="6" xfId="0" applyNumberFormat="1" applyFont="1" applyBorder="1"/>
    <xf numFmtId="0" fontId="2" fillId="0" borderId="27" xfId="0" applyFont="1" applyBorder="1"/>
    <xf numFmtId="0" fontId="2" fillId="0" borderId="30" xfId="0" applyFont="1" applyBorder="1"/>
    <xf numFmtId="0" fontId="0" fillId="0" borderId="36" xfId="0" applyBorder="1" applyAlignment="1">
      <alignment horizontal="center" vertical="center"/>
    </xf>
    <xf numFmtId="9" fontId="36" fillId="9" borderId="6" xfId="0" applyNumberFormat="1" applyFont="1" applyFill="1" applyBorder="1" applyAlignment="1">
      <alignment horizontal="center"/>
    </xf>
    <xf numFmtId="167" fontId="17" fillId="0" borderId="23" xfId="0" applyNumberFormat="1" applyFont="1" applyBorder="1"/>
    <xf numFmtId="0" fontId="18" fillId="0" borderId="23" xfId="0" applyFont="1" applyBorder="1" applyAlignment="1">
      <alignment horizontal="left" wrapText="1"/>
    </xf>
    <xf numFmtId="0" fontId="45" fillId="0" borderId="0" xfId="0" applyFont="1" applyAlignment="1">
      <alignment vertical="center"/>
    </xf>
    <xf numFmtId="0" fontId="44" fillId="0" borderId="0" xfId="0" applyFont="1"/>
    <xf numFmtId="0" fontId="43" fillId="0" borderId="0" xfId="0" applyFont="1"/>
    <xf numFmtId="0" fontId="46" fillId="0" borderId="0" xfId="0" applyFont="1" applyAlignment="1">
      <alignment vertical="center"/>
    </xf>
    <xf numFmtId="3" fontId="45" fillId="0" borderId="0" xfId="0" applyNumberFormat="1" applyFont="1" applyAlignment="1">
      <alignment vertical="center"/>
    </xf>
    <xf numFmtId="0" fontId="7" fillId="0" borderId="0" xfId="0" applyFont="1" applyAlignment="1">
      <alignment horizontal="left" vertical="center" wrapText="1"/>
    </xf>
    <xf numFmtId="0" fontId="0" fillId="0" borderId="0" xfId="0"/>
    <xf numFmtId="0" fontId="1" fillId="0" borderId="1" xfId="0" applyFont="1" applyBorder="1" applyAlignment="1">
      <alignment horizontal="center" vertical="center" wrapText="1"/>
    </xf>
    <xf numFmtId="0" fontId="2" fillId="0" borderId="1" xfId="0" applyFont="1" applyBorder="1"/>
    <xf numFmtId="0" fontId="3" fillId="2" borderId="2" xfId="0" applyFont="1" applyFill="1" applyBorder="1" applyAlignment="1">
      <alignment horizontal="center" vertical="center" wrapText="1"/>
    </xf>
    <xf numFmtId="0" fontId="2" fillId="0" borderId="3" xfId="0" applyFont="1" applyBorder="1"/>
    <xf numFmtId="0" fontId="2" fillId="0" borderId="4" xfId="0" applyFont="1" applyBorder="1"/>
    <xf numFmtId="0" fontId="4" fillId="3" borderId="2" xfId="0" applyFont="1" applyFill="1" applyBorder="1" applyAlignment="1">
      <alignment horizontal="left" vertical="center" wrapText="1"/>
    </xf>
    <xf numFmtId="0" fontId="0" fillId="0" borderId="2" xfId="0" applyBorder="1" applyAlignment="1">
      <alignment horizontal="left" vertical="center" wrapText="1"/>
    </xf>
    <xf numFmtId="0" fontId="0" fillId="0" borderId="8" xfId="0" applyBorder="1" applyAlignment="1">
      <alignment horizontal="left" vertical="center" wrapText="1"/>
    </xf>
    <xf numFmtId="0" fontId="2" fillId="0" borderId="7" xfId="0" applyFont="1" applyBorder="1"/>
    <xf numFmtId="0" fontId="2" fillId="0" borderId="9" xfId="0" applyFont="1" applyBorder="1"/>
    <xf numFmtId="0" fontId="0" fillId="0" borderId="3" xfId="0" applyBorder="1" applyAlignment="1">
      <alignment horizontal="center" vertical="center" wrapText="1"/>
    </xf>
    <xf numFmtId="0" fontId="4" fillId="4" borderId="2" xfId="0" applyFont="1" applyFill="1" applyBorder="1" applyAlignment="1">
      <alignment horizontal="left" vertical="center" wrapText="1"/>
    </xf>
    <xf numFmtId="0" fontId="5" fillId="0" borderId="2" xfId="0" applyFont="1" applyBorder="1" applyAlignment="1">
      <alignment horizontal="left" vertical="center" wrapText="1"/>
    </xf>
    <xf numFmtId="0" fontId="9" fillId="9" borderId="12" xfId="0" applyFont="1" applyFill="1" applyBorder="1" applyAlignment="1">
      <alignment horizontal="center" vertical="center" wrapText="1"/>
    </xf>
    <xf numFmtId="0" fontId="2" fillId="0" borderId="13" xfId="0" applyFont="1" applyBorder="1"/>
    <xf numFmtId="0" fontId="8" fillId="0" borderId="0" xfId="0" applyFont="1" applyAlignment="1">
      <alignment horizontal="center"/>
    </xf>
    <xf numFmtId="0" fontId="12" fillId="0" borderId="2" xfId="0" applyFont="1" applyBorder="1" applyAlignment="1">
      <alignment horizontal="center" vertical="center" wrapText="1"/>
    </xf>
    <xf numFmtId="0" fontId="5" fillId="0" borderId="0" xfId="0" applyFont="1" applyAlignment="1">
      <alignment horizontal="center"/>
    </xf>
    <xf numFmtId="0" fontId="13" fillId="0" borderId="0" xfId="0" applyFont="1" applyAlignment="1">
      <alignment horizontal="center" wrapText="1"/>
    </xf>
    <xf numFmtId="0" fontId="18" fillId="0" borderId="21" xfId="0" applyFont="1" applyBorder="1" applyAlignment="1">
      <alignment horizontal="center" vertical="center" wrapText="1"/>
    </xf>
    <xf numFmtId="0" fontId="2" fillId="0" borderId="22" xfId="0" applyFont="1" applyBorder="1"/>
    <xf numFmtId="0" fontId="21" fillId="0" borderId="0" xfId="0" applyFont="1" applyAlignment="1">
      <alignment horizontal="center" wrapText="1"/>
    </xf>
    <xf numFmtId="0" fontId="18" fillId="0" borderId="2" xfId="0" applyFont="1" applyBorder="1" applyAlignment="1">
      <alignment horizontal="center" vertical="center" wrapText="1"/>
    </xf>
    <xf numFmtId="0" fontId="5" fillId="6" borderId="14" xfId="0" applyFont="1" applyFill="1" applyBorder="1" applyAlignment="1">
      <alignment horizontal="center"/>
    </xf>
    <xf numFmtId="0" fontId="2" fillId="0" borderId="15" xfId="0" applyFont="1" applyBorder="1"/>
    <xf numFmtId="0" fontId="2" fillId="0" borderId="16" xfId="0" applyFont="1" applyBorder="1"/>
    <xf numFmtId="0" fontId="20" fillId="0" borderId="2" xfId="0" applyFont="1" applyBorder="1" applyAlignment="1">
      <alignment horizontal="center" vertical="center" wrapText="1"/>
    </xf>
    <xf numFmtId="0" fontId="23" fillId="0" borderId="0" xfId="0" applyFont="1" applyAlignment="1">
      <alignment horizontal="center"/>
    </xf>
    <xf numFmtId="0" fontId="22" fillId="0" borderId="0" xfId="0" applyFont="1" applyAlignment="1">
      <alignment horizontal="center" vertical="center" wrapText="1"/>
    </xf>
    <xf numFmtId="0" fontId="22" fillId="0" borderId="0" xfId="0" applyFont="1" applyAlignment="1">
      <alignment horizontal="center"/>
    </xf>
    <xf numFmtId="0" fontId="18" fillId="0" borderId="1" xfId="0" applyFont="1" applyBorder="1" applyAlignment="1">
      <alignment horizontal="center"/>
    </xf>
    <xf numFmtId="0" fontId="5" fillId="0" borderId="1" xfId="0" applyFont="1" applyBorder="1" applyAlignment="1">
      <alignment horizontal="center"/>
    </xf>
    <xf numFmtId="0" fontId="8" fillId="0" borderId="23" xfId="0" applyFont="1" applyBorder="1" applyAlignment="1">
      <alignment horizontal="center"/>
    </xf>
    <xf numFmtId="0" fontId="0" fillId="0" borderId="23" xfId="0" applyBorder="1"/>
    <xf numFmtId="0" fontId="2" fillId="0" borderId="23" xfId="0" applyFont="1" applyBorder="1"/>
    <xf numFmtId="0" fontId="5" fillId="0" borderId="0" xfId="0" applyFont="1" applyAlignment="1">
      <alignment horizontal="center" wrapText="1"/>
    </xf>
    <xf numFmtId="0" fontId="26" fillId="5" borderId="14" xfId="0" applyFont="1" applyFill="1" applyBorder="1" applyAlignment="1">
      <alignment horizontal="center"/>
    </xf>
    <xf numFmtId="0" fontId="26" fillId="5" borderId="25" xfId="0" applyFont="1" applyFill="1" applyBorder="1" applyAlignment="1">
      <alignment horizontal="center"/>
    </xf>
    <xf numFmtId="0" fontId="31" fillId="0" borderId="0" xfId="0" applyFont="1" applyAlignment="1">
      <alignment horizontal="center" wrapText="1"/>
    </xf>
    <xf numFmtId="0" fontId="15" fillId="8" borderId="8" xfId="0" applyFont="1" applyFill="1" applyBorder="1" applyAlignment="1">
      <alignment horizontal="center" vertical="center" wrapText="1"/>
    </xf>
    <xf numFmtId="0" fontId="15" fillId="8" borderId="27"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2" fillId="0" borderId="26" xfId="0" applyFont="1" applyBorder="1"/>
    <xf numFmtId="0" fontId="32" fillId="0" borderId="0" xfId="0" applyFont="1" applyAlignment="1">
      <alignment horizontal="center" wrapText="1"/>
    </xf>
    <xf numFmtId="0" fontId="46" fillId="0" borderId="0" xfId="0" applyFont="1" applyAlignment="1">
      <alignment horizontal="center"/>
    </xf>
    <xf numFmtId="0" fontId="44" fillId="0" borderId="0" xfId="0" applyFont="1"/>
    <xf numFmtId="0" fontId="36" fillId="9" borderId="8" xfId="0" applyFont="1" applyFill="1" applyBorder="1" applyAlignment="1">
      <alignment vertical="center"/>
    </xf>
    <xf numFmtId="0" fontId="23" fillId="0" borderId="2" xfId="0" applyFont="1" applyBorder="1" applyAlignment="1">
      <alignment horizontal="center"/>
    </xf>
    <xf numFmtId="0" fontId="37" fillId="9" borderId="8" xfId="0" applyFont="1" applyFill="1" applyBorder="1" applyAlignment="1">
      <alignment horizontal="left" vertical="center"/>
    </xf>
    <xf numFmtId="0" fontId="22" fillId="0" borderId="2" xfId="0" applyFont="1" applyBorder="1" applyAlignment="1">
      <alignment horizontal="center"/>
    </xf>
    <xf numFmtId="0" fontId="8" fillId="0" borderId="1" xfId="0" applyFont="1" applyBorder="1" applyAlignment="1">
      <alignment horizontal="center"/>
    </xf>
    <xf numFmtId="0" fontId="0" fillId="0" borderId="0" xfId="0" applyAlignment="1">
      <alignment horizontal="center"/>
    </xf>
    <xf numFmtId="0" fontId="8" fillId="0" borderId="2" xfId="0" applyFont="1" applyBorder="1" applyAlignment="1">
      <alignment horizontal="center"/>
    </xf>
    <xf numFmtId="0" fontId="36" fillId="9" borderId="8" xfId="0" applyFont="1" applyFill="1" applyBorder="1" applyAlignment="1">
      <alignment horizontal="left" vertical="center"/>
    </xf>
    <xf numFmtId="0" fontId="0" fillId="0" borderId="8" xfId="0" applyBorder="1" applyAlignment="1">
      <alignment horizontal="center" vertical="center" wrapText="1"/>
    </xf>
    <xf numFmtId="0" fontId="0" fillId="0" borderId="27" xfId="0" applyBorder="1" applyAlignment="1">
      <alignment horizontal="center" vertical="center" wrapText="1"/>
    </xf>
    <xf numFmtId="0" fontId="0" fillId="0" borderId="37" xfId="0" applyBorder="1" applyAlignment="1">
      <alignment horizontal="center" vertical="center" wrapText="1"/>
    </xf>
    <xf numFmtId="0" fontId="0" fillId="0" borderId="27" xfId="0" applyBorder="1" applyAlignment="1">
      <alignment horizontal="center" vertical="center"/>
    </xf>
    <xf numFmtId="0" fontId="0" fillId="0" borderId="37" xfId="0" applyBorder="1" applyAlignment="1">
      <alignment horizontal="center" vertical="center"/>
    </xf>
    <xf numFmtId="0" fontId="7" fillId="0" borderId="0" xfId="0" applyFont="1" applyAlignment="1">
      <alignment horizontal="center"/>
    </xf>
    <xf numFmtId="0" fontId="5" fillId="0" borderId="8" xfId="0" applyFont="1" applyBorder="1" applyAlignment="1">
      <alignment horizontal="center" vertical="center" wrapText="1"/>
    </xf>
    <xf numFmtId="0" fontId="0" fillId="0" borderId="8" xfId="0" applyBorder="1" applyAlignment="1">
      <alignment horizontal="center" vertical="center"/>
    </xf>
    <xf numFmtId="0" fontId="47" fillId="0" borderId="28" xfId="0" applyFont="1" applyBorder="1" applyAlignment="1">
      <alignment horizontal="center"/>
    </xf>
    <xf numFmtId="0" fontId="48" fillId="0" borderId="0" xfId="0" applyFont="1"/>
    <xf numFmtId="0" fontId="49" fillId="0" borderId="0" xfId="0" applyFont="1" applyAlignment="1">
      <alignment vertical="center"/>
    </xf>
    <xf numFmtId="0" fontId="50" fillId="0" borderId="0" xfId="0" applyFont="1" applyAlignment="1">
      <alignment vertical="center"/>
    </xf>
    <xf numFmtId="0" fontId="51" fillId="0" borderId="0" xfId="0" applyFont="1" applyAlignment="1">
      <alignment vertical="center"/>
    </xf>
    <xf numFmtId="0" fontId="52" fillId="8" borderId="29" xfId="0" applyFont="1" applyFill="1" applyBorder="1" applyAlignment="1">
      <alignment vertical="center"/>
    </xf>
    <xf numFmtId="0" fontId="52" fillId="8" borderId="30" xfId="0" applyFont="1" applyFill="1" applyBorder="1" applyAlignment="1">
      <alignment horizontal="center"/>
    </xf>
    <xf numFmtId="0" fontId="52" fillId="8" borderId="6" xfId="0" applyFont="1" applyFill="1" applyBorder="1" applyAlignment="1">
      <alignment horizontal="center"/>
    </xf>
    <xf numFmtId="0" fontId="51" fillId="0" borderId="31" xfId="0" applyFont="1" applyBorder="1" applyAlignment="1">
      <alignment vertical="center"/>
    </xf>
    <xf numFmtId="37" fontId="50" fillId="0" borderId="6" xfId="0" applyNumberFormat="1" applyFont="1" applyBorder="1" applyAlignment="1">
      <alignment vertical="center"/>
    </xf>
    <xf numFmtId="3" fontId="53" fillId="0" borderId="6" xfId="0" applyNumberFormat="1" applyFont="1" applyBorder="1" applyAlignment="1">
      <alignment horizontal="right" vertical="center"/>
    </xf>
    <xf numFmtId="0" fontId="54" fillId="0" borderId="31" xfId="0" applyFont="1" applyBorder="1" applyAlignment="1">
      <alignment vertical="center"/>
    </xf>
    <xf numFmtId="4" fontId="51" fillId="0" borderId="6" xfId="0" applyNumberFormat="1" applyFont="1" applyBorder="1" applyAlignment="1">
      <alignment vertical="center"/>
    </xf>
    <xf numFmtId="0" fontId="50" fillId="0" borderId="31" xfId="0" applyFont="1" applyBorder="1" applyAlignment="1">
      <alignment horizontal="left" vertical="center"/>
    </xf>
    <xf numFmtId="4" fontId="55" fillId="0" borderId="6" xfId="0" applyNumberFormat="1" applyFont="1" applyBorder="1" applyAlignment="1">
      <alignment vertical="center"/>
    </xf>
    <xf numFmtId="3" fontId="50" fillId="0" borderId="6" xfId="0" applyNumberFormat="1" applyFont="1" applyBorder="1" applyAlignment="1">
      <alignment vertical="center"/>
    </xf>
    <xf numFmtId="0" fontId="51" fillId="0" borderId="31" xfId="0" applyFont="1" applyBorder="1" applyAlignment="1">
      <alignment horizontal="left" vertical="center"/>
    </xf>
    <xf numFmtId="3" fontId="51" fillId="0" borderId="6" xfId="0" applyNumberFormat="1" applyFont="1" applyBorder="1" applyAlignment="1">
      <alignment vertical="center"/>
    </xf>
    <xf numFmtId="0" fontId="50" fillId="0" borderId="31" xfId="0" applyFont="1" applyBorder="1" applyAlignment="1">
      <alignment vertical="center"/>
    </xf>
    <xf numFmtId="3" fontId="55" fillId="0" borderId="6" xfId="0" applyNumberFormat="1" applyFont="1" applyBorder="1" applyAlignment="1">
      <alignment vertical="center"/>
    </xf>
    <xf numFmtId="3" fontId="53" fillId="0" borderId="6" xfId="0" applyNumberFormat="1" applyFont="1" applyBorder="1" applyAlignment="1">
      <alignment vertical="center"/>
    </xf>
    <xf numFmtId="0" fontId="47" fillId="0" borderId="31" xfId="0" applyFont="1" applyBorder="1" applyAlignment="1">
      <alignment vertical="center"/>
    </xf>
    <xf numFmtId="3" fontId="47" fillId="0" borderId="6" xfId="0" applyNumberFormat="1" applyFont="1" applyBorder="1" applyAlignment="1">
      <alignment vertical="center"/>
    </xf>
    <xf numFmtId="0" fontId="56" fillId="0" borderId="31" xfId="0" applyFont="1" applyBorder="1" applyAlignment="1">
      <alignment vertical="center"/>
    </xf>
    <xf numFmtId="4" fontId="57" fillId="0" borderId="6" xfId="0" applyNumberFormat="1" applyFont="1" applyBorder="1" applyAlignment="1">
      <alignment vertical="center"/>
    </xf>
    <xf numFmtId="0" fontId="58" fillId="0" borderId="31" xfId="0" applyFont="1" applyBorder="1" applyAlignment="1">
      <alignment vertical="center"/>
    </xf>
    <xf numFmtId="4" fontId="58" fillId="0" borderId="6" xfId="0" applyNumberFormat="1" applyFont="1" applyBorder="1" applyAlignment="1">
      <alignment vertical="center"/>
    </xf>
    <xf numFmtId="0" fontId="58" fillId="0" borderId="32" xfId="0" applyFont="1" applyBorder="1" applyAlignment="1">
      <alignment vertical="center"/>
    </xf>
    <xf numFmtId="4" fontId="58" fillId="0" borderId="33" xfId="0" applyNumberFormat="1" applyFont="1" applyBorder="1" applyAlignment="1">
      <alignment vertical="center"/>
    </xf>
    <xf numFmtId="4" fontId="51" fillId="0" borderId="0" xfId="0" applyNumberFormat="1" applyFont="1" applyAlignment="1">
      <alignment vertical="center"/>
    </xf>
    <xf numFmtId="0" fontId="59" fillId="0" borderId="0" xfId="0" applyFont="1" applyAlignment="1">
      <alignment horizontal="center" wrapText="1"/>
    </xf>
    <xf numFmtId="0" fontId="60" fillId="0" borderId="0" xfId="0" applyFont="1" applyAlignment="1">
      <alignment horizontal="center"/>
    </xf>
    <xf numFmtId="0" fontId="61" fillId="0" borderId="0" xfId="0" applyFont="1"/>
    <xf numFmtId="0" fontId="61" fillId="0" borderId="0" xfId="0" applyFont="1"/>
    <xf numFmtId="0" fontId="62" fillId="0" borderId="0" xfId="0" applyFont="1" applyAlignment="1">
      <alignment horizontal="center"/>
    </xf>
    <xf numFmtId="0" fontId="63" fillId="8" borderId="6" xfId="0" applyFont="1" applyFill="1" applyBorder="1" applyAlignment="1">
      <alignment wrapText="1"/>
    </xf>
    <xf numFmtId="0" fontId="63" fillId="8" borderId="6" xfId="0" applyFont="1" applyFill="1" applyBorder="1" applyAlignment="1">
      <alignment horizontal="center" wrapText="1"/>
    </xf>
    <xf numFmtId="0" fontId="62" fillId="0" borderId="6" xfId="0" applyFont="1" applyBorder="1" applyAlignment="1">
      <alignment wrapText="1"/>
    </xf>
    <xf numFmtId="165" fontId="64" fillId="0" borderId="6" xfId="0" applyNumberFormat="1" applyFont="1" applyBorder="1" applyAlignment="1">
      <alignment wrapText="1"/>
    </xf>
    <xf numFmtId="0" fontId="64" fillId="0" borderId="6" xfId="0" applyFont="1" applyBorder="1" applyAlignment="1">
      <alignment horizontal="left" wrapText="1"/>
    </xf>
    <xf numFmtId="165" fontId="62" fillId="0" borderId="6" xfId="0" applyNumberFormat="1" applyFont="1" applyBorder="1" applyAlignment="1">
      <alignment wrapText="1"/>
    </xf>
    <xf numFmtId="0" fontId="62" fillId="0" borderId="2" xfId="0" applyFont="1" applyBorder="1" applyAlignment="1">
      <alignment horizontal="center" wrapText="1"/>
    </xf>
    <xf numFmtId="0" fontId="65" fillId="0" borderId="4" xfId="0" applyFont="1" applyBorder="1"/>
    <xf numFmtId="0" fontId="64" fillId="0" borderId="6" xfId="0" applyFont="1" applyBorder="1" applyAlignment="1">
      <alignment wrapText="1"/>
    </xf>
    <xf numFmtId="0" fontId="64" fillId="0" borderId="6" xfId="0" applyFont="1" applyBorder="1" applyAlignment="1">
      <alignment horizontal="right" wrapText="1"/>
    </xf>
    <xf numFmtId="166" fontId="64" fillId="0" borderId="6" xfId="0" applyNumberFormat="1" applyFont="1" applyBorder="1" applyAlignment="1">
      <alignment wrapText="1"/>
    </xf>
    <xf numFmtId="0" fontId="64" fillId="0" borderId="6" xfId="0" applyFont="1" applyBorder="1" applyAlignment="1">
      <alignment vertical="center" wrapText="1"/>
    </xf>
    <xf numFmtId="0" fontId="62" fillId="0" borderId="6" xfId="0" applyFont="1" applyBorder="1" applyAlignment="1">
      <alignment horizontal="right" wrapText="1"/>
    </xf>
    <xf numFmtId="165" fontId="64" fillId="10" borderId="6" xfId="0" applyNumberFormat="1" applyFont="1" applyFill="1" applyBorder="1" applyAlignment="1">
      <alignment wrapText="1"/>
    </xf>
    <xf numFmtId="0" fontId="62" fillId="0" borderId="6" xfId="0" applyFont="1" applyBorder="1" applyAlignment="1">
      <alignment horizontal="left" wrapText="1"/>
    </xf>
    <xf numFmtId="165" fontId="61" fillId="0" borderId="0" xfId="0" applyNumberFormat="1" applyFont="1"/>
    <xf numFmtId="0" fontId="66" fillId="0" borderId="0" xfId="0" applyFont="1" applyAlignment="1">
      <alignment horizontal="center" wrapText="1"/>
    </xf>
    <xf numFmtId="0" fontId="64" fillId="0" borderId="0" xfId="0" applyFont="1"/>
    <xf numFmtId="0" fontId="67" fillId="9" borderId="6" xfId="0" applyFont="1" applyFill="1" applyBorder="1" applyAlignment="1">
      <alignment horizontal="left"/>
    </xf>
    <xf numFmtId="0" fontId="67" fillId="9" borderId="2" xfId="0" applyFont="1" applyFill="1" applyBorder="1" applyAlignment="1">
      <alignment horizontal="center"/>
    </xf>
    <xf numFmtId="0" fontId="67" fillId="9" borderId="35" xfId="0" applyFont="1" applyFill="1" applyBorder="1" applyAlignment="1">
      <alignment horizontal="center"/>
    </xf>
    <xf numFmtId="0" fontId="64" fillId="0" borderId="6" xfId="0" applyFont="1" applyBorder="1"/>
    <xf numFmtId="0" fontId="64" fillId="0" borderId="2" xfId="0" applyFont="1" applyBorder="1"/>
    <xf numFmtId="0" fontId="64" fillId="0" borderId="35" xfId="0" applyFont="1" applyBorder="1"/>
    <xf numFmtId="4" fontId="64" fillId="0" borderId="35" xfId="0" applyNumberFormat="1" applyFont="1" applyBorder="1"/>
    <xf numFmtId="0" fontId="62" fillId="0" borderId="2" xfId="0" applyFont="1" applyBorder="1"/>
    <xf numFmtId="43" fontId="64" fillId="0" borderId="2" xfId="0" applyNumberFormat="1" applyFont="1" applyBorder="1"/>
    <xf numFmtId="10" fontId="64" fillId="0" borderId="2" xfId="0" applyNumberFormat="1" applyFont="1" applyBorder="1"/>
    <xf numFmtId="0" fontId="64" fillId="0" borderId="6" xfId="0" quotePrefix="1" applyFont="1" applyBorder="1" applyAlignment="1">
      <alignment horizontal="left"/>
    </xf>
    <xf numFmtId="0" fontId="64" fillId="0" borderId="2" xfId="0" applyFont="1" applyBorder="1" applyAlignment="1">
      <alignment horizontal="left"/>
    </xf>
    <xf numFmtId="4" fontId="68" fillId="0" borderId="35" xfId="0" applyNumberFormat="1" applyFont="1" applyBorder="1"/>
    <xf numFmtId="4" fontId="61" fillId="0" borderId="35" xfId="0" applyNumberFormat="1" applyFont="1" applyBorder="1"/>
    <xf numFmtId="4" fontId="64" fillId="0" borderId="35" xfId="0" applyNumberFormat="1" applyFont="1" applyBorder="1" applyAlignment="1">
      <alignment horizontal="center"/>
    </xf>
    <xf numFmtId="4" fontId="64" fillId="0" borderId="30" xfId="0" applyNumberFormat="1" applyFont="1" applyBorder="1"/>
    <xf numFmtId="4" fontId="64" fillId="0" borderId="34" xfId="0" applyNumberFormat="1" applyFont="1" applyBorder="1"/>
    <xf numFmtId="4" fontId="64" fillId="0" borderId="0" xfId="0" applyNumberFormat="1" applyFont="1" applyAlignment="1">
      <alignment horizontal="center"/>
    </xf>
    <xf numFmtId="4" fontId="61" fillId="0" borderId="0" xfId="0" applyNumberFormat="1" applyFont="1"/>
    <xf numFmtId="0" fontId="69" fillId="0" borderId="0" xfId="0" applyFont="1" applyAlignment="1">
      <alignment horizontal="center" wrapText="1"/>
    </xf>
    <xf numFmtId="0" fontId="67" fillId="9" borderId="6" xfId="0" applyFont="1" applyFill="1" applyBorder="1"/>
    <xf numFmtId="0" fontId="67" fillId="9" borderId="6" xfId="0" applyFont="1" applyFill="1" applyBorder="1" applyAlignment="1">
      <alignment horizontal="center"/>
    </xf>
    <xf numFmtId="165" fontId="64" fillId="0" borderId="6" xfId="0" applyNumberFormat="1" applyFont="1" applyBorder="1"/>
    <xf numFmtId="2" fontId="64" fillId="0" borderId="6" xfId="0" applyNumberFormat="1" applyFont="1" applyBorder="1"/>
    <xf numFmtId="0" fontId="62" fillId="0" borderId="6" xfId="0" applyFont="1" applyBorder="1"/>
    <xf numFmtId="165" fontId="62" fillId="0" borderId="6" xfId="0" applyNumberFormat="1" applyFont="1" applyBorder="1"/>
    <xf numFmtId="9" fontId="64" fillId="0" borderId="6" xfId="0" applyNumberFormat="1" applyFont="1" applyBorder="1"/>
    <xf numFmtId="165" fontId="64" fillId="0" borderId="0" xfId="0" applyNumberFormat="1" applyFont="1"/>
    <xf numFmtId="0" fontId="62" fillId="0" borderId="0" xfId="0" applyFont="1"/>
    <xf numFmtId="10" fontId="62" fillId="0" borderId="0" xfId="0" applyNumberFormat="1" applyFont="1"/>
    <xf numFmtId="0" fontId="70" fillId="0" borderId="0" xfId="0" applyFont="1" applyAlignment="1">
      <alignment horizontal="center" wrapText="1"/>
    </xf>
    <xf numFmtId="0" fontId="63" fillId="9" borderId="6" xfId="0" applyFont="1" applyFill="1" applyBorder="1"/>
    <xf numFmtId="0" fontId="63" fillId="9" borderId="6" xfId="0" applyFont="1" applyFill="1" applyBorder="1" applyAlignment="1">
      <alignment horizontal="center"/>
    </xf>
    <xf numFmtId="0" fontId="63" fillId="9" borderId="2" xfId="0" applyFont="1" applyFill="1" applyBorder="1" applyAlignment="1">
      <alignment horizontal="center"/>
    </xf>
    <xf numFmtId="0" fontId="63" fillId="9" borderId="35" xfId="0" applyFont="1" applyFill="1" applyBorder="1" applyAlignment="1">
      <alignment horizontal="center"/>
    </xf>
    <xf numFmtId="0" fontId="63" fillId="0" borderId="23" xfId="0" applyFont="1" applyBorder="1" applyAlignment="1">
      <alignment horizontal="center"/>
    </xf>
    <xf numFmtId="0" fontId="64" fillId="0" borderId="23" xfId="0" applyFont="1" applyBorder="1"/>
    <xf numFmtId="3" fontId="64" fillId="0" borderId="6" xfId="0" applyNumberFormat="1" applyFont="1" applyBorder="1"/>
    <xf numFmtId="3" fontId="64" fillId="0" borderId="2" xfId="0" applyNumberFormat="1" applyFont="1" applyBorder="1"/>
    <xf numFmtId="3" fontId="64" fillId="0" borderId="35" xfId="0" applyNumberFormat="1" applyFont="1" applyBorder="1"/>
    <xf numFmtId="3" fontId="64" fillId="0" borderId="23" xfId="0" applyNumberFormat="1" applyFont="1" applyBorder="1"/>
    <xf numFmtId="0" fontId="68" fillId="0" borderId="6" xfId="0" applyFont="1" applyBorder="1"/>
    <xf numFmtId="2" fontId="64" fillId="0" borderId="2" xfId="0" applyNumberFormat="1" applyFont="1" applyBorder="1"/>
    <xf numFmtId="2" fontId="64" fillId="0" borderId="35" xfId="0" applyNumberFormat="1" applyFont="1" applyBorder="1"/>
    <xf numFmtId="2" fontId="64" fillId="0" borderId="23" xfId="0" applyNumberFormat="1" applyFont="1" applyBorder="1"/>
    <xf numFmtId="165" fontId="64" fillId="0" borderId="2" xfId="0" applyNumberFormat="1" applyFont="1" applyBorder="1"/>
    <xf numFmtId="165" fontId="64" fillId="0" borderId="35" xfId="0" applyNumberFormat="1" applyFont="1" applyBorder="1"/>
    <xf numFmtId="165" fontId="64" fillId="0" borderId="23" xfId="0" applyNumberFormat="1" applyFont="1" applyBorder="1"/>
    <xf numFmtId="0" fontId="61" fillId="0" borderId="23" xfId="0" applyFont="1" applyBorder="1"/>
    <xf numFmtId="0" fontId="68" fillId="0" borderId="0" xfId="0" applyFont="1"/>
    <xf numFmtId="43" fontId="64" fillId="0" borderId="0" xfId="0" applyNumberFormat="1" applyFont="1"/>
    <xf numFmtId="0" fontId="71" fillId="0" borderId="0" xfId="0" applyFont="1" applyAlignment="1">
      <alignment horizontal="center" wrapText="1"/>
    </xf>
    <xf numFmtId="0" fontId="71" fillId="0" borderId="0" xfId="0" applyFont="1" applyAlignment="1">
      <alignment horizontal="center" wrapText="1"/>
    </xf>
    <xf numFmtId="0" fontId="64" fillId="0" borderId="6" xfId="0" applyFont="1" applyBorder="1" applyAlignment="1">
      <alignment horizontal="center"/>
    </xf>
    <xf numFmtId="0" fontId="68" fillId="0" borderId="6" xfId="0" applyFont="1" applyBorder="1" applyAlignment="1">
      <alignment horizontal="center"/>
    </xf>
    <xf numFmtId="2" fontId="64" fillId="0" borderId="2" xfId="0" applyNumberFormat="1" applyFont="1" applyBorder="1" applyAlignment="1">
      <alignment horizontal="center"/>
    </xf>
    <xf numFmtId="0" fontId="65" fillId="0" borderId="3" xfId="0" applyFont="1" applyBorder="1"/>
    <xf numFmtId="2" fontId="64" fillId="0" borderId="3" xfId="0" applyNumberFormat="1" applyFont="1" applyBorder="1" applyAlignment="1">
      <alignment horizontal="center"/>
    </xf>
    <xf numFmtId="2" fontId="64" fillId="0" borderId="5" xfId="0" applyNumberFormat="1" applyFont="1" applyBorder="1" applyAlignment="1">
      <alignment horizontal="center"/>
    </xf>
    <xf numFmtId="0" fontId="62" fillId="0" borderId="6" xfId="0" applyFont="1" applyBorder="1" applyAlignment="1">
      <alignment horizontal="center" vertical="center"/>
    </xf>
    <xf numFmtId="10" fontId="62" fillId="0" borderId="2" xfId="0" applyNumberFormat="1" applyFont="1" applyBorder="1" applyAlignment="1">
      <alignment horizontal="center"/>
    </xf>
    <xf numFmtId="0" fontId="71" fillId="0" borderId="0" xfId="0" applyFont="1" applyAlignment="1">
      <alignment horizontal="center"/>
    </xf>
    <xf numFmtId="0" fontId="61" fillId="0" borderId="6" xfId="0" applyFont="1" applyBorder="1"/>
    <xf numFmtId="165" fontId="64" fillId="0" borderId="6" xfId="0" applyNumberFormat="1" applyFont="1" applyBorder="1" applyAlignment="1">
      <alignment horizontal="center"/>
    </xf>
    <xf numFmtId="165" fontId="61" fillId="0" borderId="6" xfId="0" applyNumberFormat="1" applyFont="1" applyBorder="1"/>
    <xf numFmtId="0" fontId="61" fillId="0" borderId="6" xfId="0" applyFont="1" applyBorder="1" applyAlignment="1">
      <alignment horizontal="center" vertical="center"/>
    </xf>
    <xf numFmtId="165" fontId="7" fillId="0" borderId="6" xfId="0" applyNumberFormat="1" applyFont="1" applyBorder="1"/>
    <xf numFmtId="0" fontId="7" fillId="0" borderId="0" xfId="0" applyFont="1"/>
    <xf numFmtId="2" fontId="7" fillId="0" borderId="0" xfId="0" applyNumberFormat="1" applyFont="1"/>
    <xf numFmtId="164" fontId="61" fillId="0" borderId="0" xfId="0" applyNumberFormat="1" applyFont="1"/>
    <xf numFmtId="43" fontId="61" fillId="0" borderId="0" xfId="0" applyNumberFormat="1" applyFont="1"/>
    <xf numFmtId="2" fontId="62" fillId="0" borderId="6" xfId="0" applyNumberFormat="1" applyFont="1" applyBorder="1"/>
    <xf numFmtId="2" fontId="64" fillId="0" borderId="0" xfId="0" applyNumberFormat="1" applyFont="1"/>
    <xf numFmtId="0" fontId="62" fillId="0" borderId="34" xfId="0" applyFont="1" applyBorder="1" applyAlignment="1">
      <alignment horizontal="center"/>
    </xf>
    <xf numFmtId="0" fontId="65" fillId="0" borderId="1" xfId="0" applyFont="1" applyBorder="1"/>
    <xf numFmtId="172" fontId="64" fillId="0" borderId="0" xfId="0" applyNumberFormat="1" applyFont="1"/>
    <xf numFmtId="172" fontId="64" fillId="0" borderId="6" xfId="0" applyNumberFormat="1" applyFont="1" applyBorder="1"/>
    <xf numFmtId="173" fontId="64" fillId="0" borderId="6" xfId="0" applyNumberFormat="1" applyFont="1" applyBorder="1"/>
    <xf numFmtId="164" fontId="64" fillId="0" borderId="6" xfId="0" applyNumberFormat="1" applyFont="1" applyBorder="1"/>
    <xf numFmtId="43" fontId="62" fillId="0" borderId="6" xfId="0" applyNumberFormat="1" applyFont="1" applyBorder="1"/>
    <xf numFmtId="172" fontId="62" fillId="0" borderId="6" xfId="0" applyNumberFormat="1" applyFont="1" applyBorder="1"/>
    <xf numFmtId="0" fontId="72" fillId="0" borderId="0" xfId="0" applyFont="1" applyAlignment="1">
      <alignment horizontal="center" wrapText="1"/>
    </xf>
    <xf numFmtId="0" fontId="72" fillId="0" borderId="0" xfId="0" applyFont="1"/>
  </cellXfs>
  <cellStyles count="1">
    <cellStyle name="Normal" xfId="0" builtinId="0"/>
  </cellStyles>
  <dxfs count="2">
    <dxf>
      <font>
        <color rgb="FFFF0000"/>
      </font>
      <fill>
        <patternFill patternType="none"/>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
  <sheetViews>
    <sheetView topLeftCell="A10" workbookViewId="0">
      <selection sqref="A1:E1"/>
    </sheetView>
  </sheetViews>
  <sheetFormatPr defaultColWidth="14.42578125" defaultRowHeight="15" customHeight="1"/>
  <cols>
    <col min="1" max="1" width="12.85546875" customWidth="1"/>
    <col min="2" max="2" width="56" customWidth="1"/>
    <col min="3" max="3" width="26.28515625" customWidth="1"/>
    <col min="4" max="4" width="20.7109375" customWidth="1"/>
    <col min="5" max="5" width="29.42578125" customWidth="1"/>
    <col min="6" max="11" width="9.140625" customWidth="1"/>
  </cols>
  <sheetData>
    <row r="1" spans="1:11" ht="26.25" customHeight="1">
      <c r="A1" s="252" t="s">
        <v>0</v>
      </c>
      <c r="B1" s="253"/>
      <c r="C1" s="253"/>
      <c r="D1" s="253"/>
      <c r="E1" s="253"/>
      <c r="F1" s="1"/>
      <c r="G1" s="1"/>
      <c r="H1" s="1"/>
      <c r="I1" s="1"/>
      <c r="J1" s="1"/>
      <c r="K1" s="1"/>
    </row>
    <row r="2" spans="1:11" ht="26.25" customHeight="1">
      <c r="A2" s="254" t="s">
        <v>1</v>
      </c>
      <c r="B2" s="255"/>
      <c r="C2" s="255"/>
      <c r="D2" s="255"/>
      <c r="E2" s="256"/>
      <c r="F2" s="1"/>
      <c r="G2" s="1"/>
      <c r="H2" s="1"/>
      <c r="I2" s="1"/>
      <c r="J2" s="1"/>
      <c r="K2" s="1"/>
    </row>
    <row r="3" spans="1:11" ht="23.25" customHeight="1">
      <c r="A3" s="257" t="s">
        <v>2</v>
      </c>
      <c r="B3" s="255"/>
      <c r="C3" s="255"/>
      <c r="D3" s="255"/>
      <c r="E3" s="256"/>
      <c r="F3" s="1"/>
      <c r="G3" s="1"/>
      <c r="H3" s="1"/>
      <c r="I3" s="1"/>
      <c r="J3" s="1"/>
      <c r="K3" s="1"/>
    </row>
    <row r="4" spans="1:11" ht="240.75" customHeight="1">
      <c r="A4" s="258" t="s">
        <v>3</v>
      </c>
      <c r="B4" s="255"/>
      <c r="C4" s="255"/>
      <c r="D4" s="255"/>
      <c r="E4" s="256"/>
      <c r="F4" s="1"/>
      <c r="G4" s="1"/>
      <c r="H4" s="1"/>
      <c r="I4" s="1"/>
      <c r="J4" s="1"/>
      <c r="K4" s="1"/>
    </row>
    <row r="5" spans="1:11" ht="23.25" customHeight="1">
      <c r="A5" s="257" t="s">
        <v>4</v>
      </c>
      <c r="B5" s="255"/>
      <c r="C5" s="255"/>
      <c r="D5" s="255"/>
      <c r="E5" s="256"/>
      <c r="F5" s="1"/>
      <c r="G5" s="1"/>
      <c r="H5" s="1"/>
      <c r="I5" s="1"/>
      <c r="J5" s="1"/>
      <c r="K5" s="1"/>
    </row>
    <row r="6" spans="1:11" ht="108" customHeight="1">
      <c r="A6" s="258" t="s">
        <v>5</v>
      </c>
      <c r="B6" s="255"/>
      <c r="C6" s="255"/>
      <c r="D6" s="255"/>
      <c r="E6" s="256"/>
      <c r="F6" s="1"/>
      <c r="G6" s="1"/>
      <c r="H6" s="1"/>
      <c r="I6" s="1"/>
      <c r="J6" s="1"/>
      <c r="K6" s="1"/>
    </row>
    <row r="7" spans="1:11" ht="23.25" customHeight="1">
      <c r="A7" s="263" t="s">
        <v>6</v>
      </c>
      <c r="B7" s="255"/>
      <c r="C7" s="255"/>
      <c r="D7" s="255"/>
      <c r="E7" s="256"/>
      <c r="F7" s="1"/>
      <c r="G7" s="1"/>
      <c r="H7" s="1"/>
      <c r="I7" s="1"/>
      <c r="J7" s="1"/>
      <c r="K7" s="1"/>
    </row>
    <row r="8" spans="1:11" ht="125.25" customHeight="1">
      <c r="A8" s="258" t="s">
        <v>7</v>
      </c>
      <c r="B8" s="255"/>
      <c r="C8" s="255"/>
      <c r="D8" s="255"/>
      <c r="E8" s="256"/>
      <c r="F8" s="1"/>
      <c r="G8" s="1"/>
      <c r="H8" s="1"/>
      <c r="I8" s="1"/>
      <c r="J8" s="1"/>
      <c r="K8" s="1"/>
    </row>
    <row r="9" spans="1:11">
      <c r="A9" s="257" t="s">
        <v>8</v>
      </c>
      <c r="B9" s="255"/>
      <c r="C9" s="255"/>
      <c r="D9" s="255"/>
      <c r="E9" s="256"/>
      <c r="F9" s="1"/>
      <c r="G9" s="1"/>
      <c r="H9" s="1"/>
      <c r="I9" s="1"/>
      <c r="J9" s="1"/>
      <c r="K9" s="1"/>
    </row>
    <row r="10" spans="1:11">
      <c r="A10" s="1" t="s">
        <v>9</v>
      </c>
      <c r="B10" s="1" t="s">
        <v>10</v>
      </c>
      <c r="C10" s="1"/>
      <c r="D10" s="1"/>
      <c r="E10" s="1"/>
      <c r="F10" s="1"/>
      <c r="G10" s="1"/>
      <c r="H10" s="1"/>
      <c r="I10" s="1"/>
      <c r="J10" s="1"/>
      <c r="K10" s="1"/>
    </row>
    <row r="11" spans="1:11" ht="20.25" customHeight="1">
      <c r="A11" s="2"/>
      <c r="B11" s="264" t="s">
        <v>11</v>
      </c>
      <c r="C11" s="255"/>
      <c r="D11" s="255"/>
      <c r="E11" s="256"/>
      <c r="F11" s="1"/>
      <c r="G11" s="1"/>
      <c r="H11" s="1"/>
      <c r="I11" s="1"/>
      <c r="J11" s="1"/>
      <c r="K11" s="1"/>
    </row>
    <row r="12" spans="1:11">
      <c r="A12" s="3"/>
      <c r="B12" s="264" t="s">
        <v>12</v>
      </c>
      <c r="C12" s="255"/>
      <c r="D12" s="255"/>
      <c r="E12" s="256"/>
      <c r="F12" s="1"/>
      <c r="G12" s="1"/>
      <c r="H12" s="1"/>
      <c r="I12" s="1"/>
      <c r="J12" s="1"/>
      <c r="K12" s="1"/>
    </row>
    <row r="13" spans="1:11">
      <c r="A13" s="262"/>
      <c r="B13" s="255"/>
      <c r="C13" s="255"/>
      <c r="D13" s="255"/>
      <c r="E13" s="256"/>
      <c r="F13" s="1"/>
      <c r="G13" s="1"/>
      <c r="H13" s="1"/>
      <c r="I13" s="1"/>
      <c r="J13" s="1"/>
      <c r="K13" s="1"/>
    </row>
    <row r="14" spans="1:11">
      <c r="A14" s="257" t="s">
        <v>13</v>
      </c>
      <c r="B14" s="255"/>
      <c r="C14" s="255"/>
      <c r="D14" s="255"/>
      <c r="E14" s="256"/>
      <c r="F14" s="1"/>
      <c r="G14" s="1"/>
      <c r="H14" s="1"/>
      <c r="I14" s="1"/>
      <c r="J14" s="1"/>
      <c r="K14" s="1"/>
    </row>
    <row r="15" spans="1:11">
      <c r="A15" s="4" t="s">
        <v>14</v>
      </c>
      <c r="B15" s="4" t="s">
        <v>15</v>
      </c>
      <c r="C15" s="4" t="s">
        <v>16</v>
      </c>
      <c r="D15" s="4" t="s">
        <v>17</v>
      </c>
      <c r="E15" s="4" t="s">
        <v>18</v>
      </c>
      <c r="F15" s="1"/>
      <c r="G15" s="1"/>
      <c r="H15" s="1"/>
      <c r="I15" s="1"/>
      <c r="J15" s="1"/>
      <c r="K15" s="1"/>
    </row>
    <row r="16" spans="1:11">
      <c r="A16" s="5" t="s">
        <v>19</v>
      </c>
      <c r="B16" s="5" t="s">
        <v>20</v>
      </c>
      <c r="C16" s="5"/>
      <c r="D16" s="5"/>
      <c r="E16" s="5"/>
      <c r="F16" s="1"/>
      <c r="G16" s="1"/>
      <c r="H16" s="1"/>
      <c r="I16" s="1"/>
      <c r="J16" s="1"/>
      <c r="K16" s="1"/>
    </row>
    <row r="17" spans="1:11" ht="60">
      <c r="A17" s="6" t="s">
        <v>21</v>
      </c>
      <c r="B17" s="7" t="s">
        <v>22</v>
      </c>
      <c r="C17" s="7" t="s">
        <v>23</v>
      </c>
      <c r="D17" s="7" t="s">
        <v>24</v>
      </c>
      <c r="E17" s="7"/>
      <c r="F17" s="1"/>
      <c r="G17" s="1"/>
      <c r="H17" s="1"/>
      <c r="I17" s="1"/>
      <c r="J17" s="1"/>
      <c r="K17" s="1"/>
    </row>
    <row r="18" spans="1:11" ht="90">
      <c r="A18" s="6" t="s">
        <v>25</v>
      </c>
      <c r="B18" s="7" t="s">
        <v>26</v>
      </c>
      <c r="C18" s="7" t="s">
        <v>27</v>
      </c>
      <c r="D18" s="7" t="s">
        <v>28</v>
      </c>
      <c r="E18" s="7"/>
      <c r="F18" s="1"/>
      <c r="G18" s="1"/>
      <c r="H18" s="1"/>
      <c r="I18" s="1"/>
      <c r="J18" s="1"/>
      <c r="K18" s="1"/>
    </row>
    <row r="19" spans="1:11" ht="26.25" customHeight="1">
      <c r="A19" s="6" t="s">
        <v>29</v>
      </c>
      <c r="B19" s="8" t="s">
        <v>30</v>
      </c>
      <c r="C19" s="7" t="s">
        <v>31</v>
      </c>
      <c r="D19" s="7" t="s">
        <v>32</v>
      </c>
      <c r="E19" s="7" t="s">
        <v>33</v>
      </c>
      <c r="F19" s="1"/>
      <c r="G19" s="1"/>
      <c r="H19" s="1"/>
      <c r="I19" s="1"/>
      <c r="J19" s="1"/>
      <c r="K19" s="1"/>
    </row>
    <row r="20" spans="1:11" ht="30">
      <c r="A20" s="6" t="s">
        <v>34</v>
      </c>
      <c r="B20" s="7" t="s">
        <v>35</v>
      </c>
      <c r="C20" s="7"/>
      <c r="D20" s="7"/>
      <c r="E20" s="7"/>
      <c r="F20" s="1"/>
      <c r="G20" s="1"/>
      <c r="H20" s="1"/>
      <c r="I20" s="1"/>
      <c r="J20" s="1"/>
      <c r="K20" s="1"/>
    </row>
    <row r="21" spans="1:11" ht="15.75" customHeight="1">
      <c r="A21" s="7">
        <v>4.0999999999999996</v>
      </c>
      <c r="B21" s="7" t="s">
        <v>36</v>
      </c>
      <c r="C21" s="259" t="s">
        <v>37</v>
      </c>
      <c r="D21" s="7" t="s">
        <v>38</v>
      </c>
      <c r="E21" s="7"/>
      <c r="F21" s="1"/>
      <c r="G21" s="1"/>
      <c r="H21" s="1"/>
      <c r="I21" s="1"/>
      <c r="J21" s="1"/>
      <c r="K21" s="1"/>
    </row>
    <row r="22" spans="1:11" ht="15.75" customHeight="1">
      <c r="A22" s="7">
        <v>4.2</v>
      </c>
      <c r="B22" s="7" t="s">
        <v>39</v>
      </c>
      <c r="C22" s="260"/>
      <c r="D22" s="7" t="s">
        <v>40</v>
      </c>
      <c r="E22" s="7"/>
      <c r="F22" s="1"/>
      <c r="G22" s="1"/>
      <c r="H22" s="1"/>
      <c r="I22" s="1"/>
      <c r="J22" s="1"/>
      <c r="K22" s="1"/>
    </row>
    <row r="23" spans="1:11" ht="15.75" customHeight="1">
      <c r="A23" s="7">
        <v>4.3</v>
      </c>
      <c r="B23" s="7" t="s">
        <v>41</v>
      </c>
      <c r="C23" s="260"/>
      <c r="D23" s="7" t="s">
        <v>42</v>
      </c>
      <c r="E23" s="7"/>
      <c r="F23" s="1"/>
      <c r="G23" s="1"/>
      <c r="H23" s="1"/>
      <c r="I23" s="1"/>
      <c r="J23" s="1"/>
      <c r="K23" s="1"/>
    </row>
    <row r="24" spans="1:11" ht="15.75" customHeight="1">
      <c r="A24" s="7">
        <v>4.4000000000000004</v>
      </c>
      <c r="B24" s="7" t="s">
        <v>43</v>
      </c>
      <c r="C24" s="260"/>
      <c r="D24" s="7" t="s">
        <v>44</v>
      </c>
      <c r="E24" s="7"/>
      <c r="F24" s="1"/>
      <c r="G24" s="1"/>
      <c r="H24" s="1"/>
      <c r="I24" s="1"/>
      <c r="J24" s="1"/>
      <c r="K24" s="1"/>
    </row>
    <row r="25" spans="1:11" ht="15.75" customHeight="1">
      <c r="A25" s="7">
        <v>4.5</v>
      </c>
      <c r="B25" s="7" t="s">
        <v>45</v>
      </c>
      <c r="C25" s="260"/>
      <c r="D25" s="7" t="s">
        <v>46</v>
      </c>
      <c r="E25" s="7"/>
      <c r="F25" s="1"/>
      <c r="G25" s="1"/>
      <c r="H25" s="1"/>
      <c r="I25" s="1"/>
      <c r="J25" s="1"/>
      <c r="K25" s="1"/>
    </row>
    <row r="26" spans="1:11" ht="15.75" customHeight="1">
      <c r="A26" s="7">
        <v>4.5999999999999996</v>
      </c>
      <c r="B26" s="7" t="s">
        <v>47</v>
      </c>
      <c r="C26" s="261"/>
      <c r="D26" s="7" t="s">
        <v>48</v>
      </c>
      <c r="E26" s="7"/>
      <c r="F26" s="1"/>
      <c r="G26" s="1"/>
      <c r="H26" s="1"/>
      <c r="I26" s="1"/>
      <c r="J26" s="1"/>
      <c r="K26" s="1"/>
    </row>
    <row r="27" spans="1:11" ht="15.75" customHeight="1">
      <c r="A27" s="6" t="s">
        <v>49</v>
      </c>
      <c r="B27" s="7" t="s">
        <v>50</v>
      </c>
      <c r="C27" s="7" t="s">
        <v>51</v>
      </c>
      <c r="D27" s="7" t="s">
        <v>52</v>
      </c>
      <c r="E27" s="7"/>
      <c r="F27" s="1"/>
      <c r="G27" s="1"/>
      <c r="H27" s="1"/>
      <c r="I27" s="1"/>
      <c r="J27" s="1"/>
      <c r="K27" s="1"/>
    </row>
    <row r="28" spans="1:11" ht="15.75" customHeight="1">
      <c r="A28" s="6" t="s">
        <v>53</v>
      </c>
      <c r="B28" s="7" t="s">
        <v>54</v>
      </c>
      <c r="C28" s="7" t="s">
        <v>55</v>
      </c>
      <c r="D28" s="7" t="s">
        <v>56</v>
      </c>
      <c r="E28" s="7"/>
      <c r="F28" s="1"/>
      <c r="G28" s="1"/>
      <c r="H28" s="1"/>
      <c r="I28" s="1"/>
      <c r="J28" s="1"/>
      <c r="K28" s="1"/>
    </row>
    <row r="29" spans="1:11" ht="15.75" customHeight="1">
      <c r="A29" s="6" t="s">
        <v>57</v>
      </c>
      <c r="B29" s="7" t="s">
        <v>58</v>
      </c>
      <c r="C29" s="7" t="s">
        <v>59</v>
      </c>
      <c r="D29" s="7" t="s">
        <v>60</v>
      </c>
      <c r="E29" s="7"/>
      <c r="F29" s="1"/>
      <c r="G29" s="1"/>
      <c r="H29" s="1"/>
      <c r="I29" s="1"/>
      <c r="J29" s="1"/>
      <c r="K29" s="1"/>
    </row>
    <row r="30" spans="1:11" ht="15.75" customHeight="1">
      <c r="A30" s="5" t="s">
        <v>61</v>
      </c>
      <c r="B30" s="9" t="s">
        <v>62</v>
      </c>
      <c r="C30" s="5"/>
      <c r="D30" s="5"/>
      <c r="E30" s="5"/>
      <c r="F30" s="1"/>
      <c r="G30" s="1"/>
      <c r="H30" s="1"/>
      <c r="I30" s="1"/>
      <c r="J30" s="1"/>
      <c r="K30" s="1"/>
    </row>
    <row r="31" spans="1:11" ht="26.25" customHeight="1">
      <c r="A31" s="10" t="s">
        <v>63</v>
      </c>
      <c r="B31" s="7" t="s">
        <v>64</v>
      </c>
      <c r="C31" s="7"/>
      <c r="D31" s="7" t="s">
        <v>65</v>
      </c>
      <c r="E31" s="7" t="s">
        <v>33</v>
      </c>
      <c r="F31" s="1"/>
      <c r="G31" s="1"/>
      <c r="H31" s="1"/>
      <c r="I31" s="1"/>
      <c r="J31" s="1"/>
      <c r="K31" s="1"/>
    </row>
    <row r="32" spans="1:11" ht="15.75" customHeight="1">
      <c r="A32" s="10" t="s">
        <v>66</v>
      </c>
      <c r="B32" s="7" t="s">
        <v>67</v>
      </c>
      <c r="C32" s="7"/>
      <c r="D32" s="7" t="s">
        <v>68</v>
      </c>
      <c r="E32" s="7" t="s">
        <v>33</v>
      </c>
      <c r="F32" s="1"/>
      <c r="G32" s="1"/>
      <c r="H32" s="1"/>
      <c r="I32" s="1"/>
      <c r="J32" s="1"/>
      <c r="K32" s="1"/>
    </row>
    <row r="33" spans="1:11" ht="15.75" customHeight="1">
      <c r="A33" s="10" t="s">
        <v>69</v>
      </c>
      <c r="B33" s="7" t="s">
        <v>70</v>
      </c>
      <c r="C33" s="7"/>
      <c r="D33" s="7" t="s">
        <v>71</v>
      </c>
      <c r="E33" s="7" t="s">
        <v>33</v>
      </c>
      <c r="F33" s="1"/>
      <c r="G33" s="1"/>
      <c r="H33" s="1"/>
      <c r="I33" s="1"/>
      <c r="J33" s="1"/>
      <c r="K33" s="1"/>
    </row>
    <row r="34" spans="1:11" ht="35.25" customHeight="1">
      <c r="A34" s="10" t="s">
        <v>72</v>
      </c>
      <c r="B34" s="7" t="s">
        <v>73</v>
      </c>
      <c r="C34" s="7"/>
      <c r="D34" s="7" t="s">
        <v>74</v>
      </c>
      <c r="E34" s="7" t="s">
        <v>33</v>
      </c>
      <c r="F34" s="1"/>
      <c r="G34" s="1"/>
      <c r="H34" s="1"/>
      <c r="I34" s="1"/>
      <c r="J34" s="1"/>
      <c r="K34" s="1"/>
    </row>
    <row r="35" spans="1:11" ht="35.25" customHeight="1">
      <c r="A35" s="10" t="s">
        <v>75</v>
      </c>
      <c r="B35" s="7" t="s">
        <v>76</v>
      </c>
      <c r="C35" s="7"/>
      <c r="D35" s="7" t="s">
        <v>77</v>
      </c>
      <c r="E35" s="7" t="s">
        <v>33</v>
      </c>
      <c r="F35" s="1"/>
      <c r="G35" s="1"/>
      <c r="H35" s="1"/>
      <c r="I35" s="1"/>
      <c r="J35" s="1"/>
      <c r="K35" s="1"/>
    </row>
    <row r="36" spans="1:11" ht="15.75" customHeight="1">
      <c r="A36" s="6" t="s">
        <v>78</v>
      </c>
      <c r="B36" s="7" t="s">
        <v>79</v>
      </c>
      <c r="C36" s="7"/>
      <c r="D36" s="7"/>
      <c r="E36" s="7"/>
      <c r="F36" s="1"/>
      <c r="G36" s="1"/>
      <c r="H36" s="1"/>
      <c r="I36" s="1"/>
      <c r="J36" s="1"/>
      <c r="K36" s="1"/>
    </row>
    <row r="37" spans="1:11" ht="15.75" customHeight="1">
      <c r="A37" s="250"/>
      <c r="B37" s="251"/>
      <c r="C37" s="251"/>
      <c r="D37" s="251"/>
      <c r="E37" s="251"/>
      <c r="F37" s="1"/>
      <c r="G37" s="1"/>
      <c r="H37" s="1"/>
      <c r="I37" s="1"/>
      <c r="J37" s="1"/>
      <c r="K37" s="1"/>
    </row>
    <row r="38" spans="1:11" ht="15.75" customHeight="1">
      <c r="A38" s="1"/>
      <c r="B38" s="1"/>
      <c r="C38" s="1"/>
      <c r="D38" s="1"/>
      <c r="E38" s="1"/>
      <c r="F38" s="1"/>
      <c r="G38" s="1"/>
      <c r="H38" s="1"/>
      <c r="I38" s="1"/>
      <c r="J38" s="1"/>
      <c r="K38" s="1"/>
    </row>
    <row r="39" spans="1:11" ht="15.75" customHeight="1">
      <c r="A39" s="1"/>
      <c r="B39" s="1"/>
      <c r="C39" s="1"/>
      <c r="D39" s="1"/>
      <c r="E39" s="1"/>
      <c r="F39" s="1"/>
      <c r="G39" s="1"/>
      <c r="H39" s="1"/>
      <c r="I39" s="1"/>
      <c r="J39" s="1"/>
      <c r="K39" s="1"/>
    </row>
    <row r="40" spans="1:11" ht="15.75" customHeight="1">
      <c r="A40" s="1"/>
      <c r="B40" s="1"/>
      <c r="C40" s="1"/>
      <c r="D40" s="1"/>
      <c r="E40" s="1"/>
      <c r="F40" s="1"/>
      <c r="G40" s="1"/>
      <c r="H40" s="1"/>
      <c r="I40" s="1"/>
      <c r="J40" s="1"/>
      <c r="K40" s="1"/>
    </row>
    <row r="41" spans="1:11" ht="15.75" customHeight="1">
      <c r="A41" s="1"/>
      <c r="B41" s="1"/>
      <c r="C41" s="1"/>
      <c r="D41" s="1"/>
      <c r="E41" s="1"/>
      <c r="F41" s="1"/>
      <c r="G41" s="1"/>
      <c r="H41" s="1"/>
      <c r="I41" s="1"/>
      <c r="J41" s="1"/>
      <c r="K41" s="1"/>
    </row>
    <row r="42" spans="1:11" ht="15.75" customHeight="1">
      <c r="A42" s="1"/>
      <c r="B42" s="1"/>
      <c r="C42" s="1"/>
      <c r="D42" s="1"/>
      <c r="E42" s="1"/>
      <c r="F42" s="1"/>
      <c r="G42" s="1"/>
      <c r="H42" s="1"/>
      <c r="I42" s="1"/>
      <c r="J42" s="1"/>
      <c r="K42" s="1"/>
    </row>
    <row r="43" spans="1:11" ht="15.75" customHeight="1">
      <c r="A43" s="1"/>
      <c r="B43" s="1"/>
      <c r="C43" s="1"/>
      <c r="D43" s="1"/>
      <c r="E43" s="1"/>
      <c r="F43" s="1"/>
      <c r="G43" s="1"/>
      <c r="H43" s="1"/>
      <c r="I43" s="1"/>
      <c r="J43" s="1"/>
      <c r="K43" s="1"/>
    </row>
    <row r="44" spans="1:11" ht="15.75" customHeight="1">
      <c r="A44" s="1"/>
      <c r="B44" s="1"/>
      <c r="C44" s="1"/>
      <c r="D44" s="1"/>
      <c r="E44" s="1"/>
      <c r="F44" s="1"/>
      <c r="G44" s="1"/>
      <c r="H44" s="1"/>
      <c r="I44" s="1"/>
      <c r="J44" s="1"/>
      <c r="K44" s="1"/>
    </row>
    <row r="45" spans="1:11" ht="15.75" customHeight="1">
      <c r="A45" s="1"/>
      <c r="B45" s="1"/>
      <c r="C45" s="1"/>
      <c r="D45" s="1"/>
      <c r="E45" s="1"/>
      <c r="F45" s="1"/>
      <c r="G45" s="1"/>
      <c r="H45" s="1"/>
      <c r="I45" s="1"/>
      <c r="J45" s="1"/>
      <c r="K45" s="1"/>
    </row>
    <row r="46" spans="1:11" ht="15.75" customHeight="1">
      <c r="A46" s="1"/>
      <c r="B46" s="1"/>
      <c r="C46" s="1"/>
      <c r="D46" s="1"/>
      <c r="E46" s="1"/>
      <c r="F46" s="1"/>
      <c r="G46" s="1"/>
      <c r="H46" s="1"/>
      <c r="I46" s="1"/>
      <c r="J46" s="1"/>
      <c r="K46" s="1"/>
    </row>
    <row r="47" spans="1:11" ht="15.75" customHeight="1">
      <c r="A47" s="1"/>
      <c r="B47" s="1"/>
      <c r="C47" s="1"/>
      <c r="D47" s="1"/>
      <c r="E47" s="1"/>
      <c r="F47" s="1"/>
      <c r="G47" s="1"/>
      <c r="H47" s="1"/>
      <c r="I47" s="1"/>
      <c r="J47" s="1"/>
      <c r="K47" s="1"/>
    </row>
    <row r="48" spans="1:11" ht="15.75" customHeight="1">
      <c r="A48" s="1"/>
      <c r="B48" s="1"/>
      <c r="C48" s="1"/>
      <c r="D48" s="1"/>
      <c r="E48" s="1"/>
      <c r="F48" s="1"/>
      <c r="G48" s="1"/>
      <c r="H48" s="1"/>
      <c r="I48" s="1"/>
      <c r="J48" s="1"/>
      <c r="K48" s="1"/>
    </row>
    <row r="49" spans="1:11" ht="15.75" customHeight="1">
      <c r="A49" s="1"/>
      <c r="B49" s="1"/>
      <c r="C49" s="1"/>
      <c r="D49" s="1"/>
      <c r="E49" s="1"/>
      <c r="F49" s="1"/>
      <c r="G49" s="1"/>
      <c r="H49" s="1"/>
      <c r="I49" s="1"/>
      <c r="J49" s="1"/>
      <c r="K49" s="1"/>
    </row>
    <row r="50" spans="1:11" ht="15.75" customHeight="1">
      <c r="A50" s="1"/>
      <c r="B50" s="1"/>
      <c r="C50" s="1"/>
      <c r="D50" s="1"/>
      <c r="E50" s="1"/>
      <c r="F50" s="1"/>
      <c r="G50" s="1"/>
      <c r="H50" s="1"/>
      <c r="I50" s="1"/>
      <c r="J50" s="1"/>
      <c r="K50" s="1"/>
    </row>
    <row r="51" spans="1:11" ht="15.75" customHeight="1">
      <c r="A51" s="1"/>
      <c r="B51" s="1"/>
      <c r="C51" s="1"/>
      <c r="D51" s="1"/>
      <c r="E51" s="1"/>
      <c r="F51" s="1"/>
      <c r="G51" s="1"/>
      <c r="H51" s="1"/>
      <c r="I51" s="1"/>
      <c r="J51" s="1"/>
      <c r="K51" s="1"/>
    </row>
    <row r="52" spans="1:11" ht="15.75" customHeight="1">
      <c r="A52" s="1"/>
      <c r="B52" s="1"/>
      <c r="C52" s="1"/>
      <c r="D52" s="1"/>
      <c r="E52" s="1"/>
      <c r="F52" s="1"/>
      <c r="G52" s="1"/>
      <c r="H52" s="1"/>
      <c r="I52" s="1"/>
      <c r="J52" s="1"/>
      <c r="K52" s="1"/>
    </row>
    <row r="53" spans="1:11" ht="15.75" customHeight="1">
      <c r="A53" s="1"/>
      <c r="B53" s="1"/>
      <c r="C53" s="1"/>
      <c r="D53" s="1"/>
      <c r="E53" s="1"/>
      <c r="F53" s="1"/>
      <c r="G53" s="1"/>
      <c r="H53" s="1"/>
      <c r="I53" s="1"/>
      <c r="J53" s="1"/>
      <c r="K53" s="1"/>
    </row>
    <row r="54" spans="1:11" ht="15.75" customHeight="1">
      <c r="A54" s="1"/>
      <c r="B54" s="1"/>
      <c r="C54" s="1"/>
      <c r="D54" s="1"/>
      <c r="E54" s="1"/>
      <c r="F54" s="1"/>
      <c r="G54" s="1"/>
      <c r="H54" s="1"/>
      <c r="I54" s="1"/>
      <c r="J54" s="1"/>
      <c r="K54" s="1"/>
    </row>
    <row r="55" spans="1:11" ht="15.75" customHeight="1">
      <c r="A55" s="1"/>
      <c r="B55" s="1"/>
      <c r="C55" s="1"/>
      <c r="D55" s="1"/>
      <c r="E55" s="1"/>
      <c r="F55" s="1"/>
      <c r="G55" s="1"/>
      <c r="H55" s="1"/>
      <c r="I55" s="1"/>
      <c r="J55" s="1"/>
      <c r="K55" s="1"/>
    </row>
    <row r="56" spans="1:11" ht="15.75" customHeight="1">
      <c r="A56" s="1"/>
      <c r="B56" s="1"/>
      <c r="C56" s="1"/>
      <c r="D56" s="1"/>
      <c r="E56" s="1"/>
      <c r="F56" s="1"/>
      <c r="G56" s="1"/>
      <c r="H56" s="1"/>
      <c r="I56" s="1"/>
      <c r="J56" s="1"/>
      <c r="K56" s="1"/>
    </row>
    <row r="57" spans="1:11" ht="15.75" customHeight="1">
      <c r="A57" s="1"/>
      <c r="B57" s="1"/>
      <c r="C57" s="1"/>
      <c r="D57" s="1"/>
      <c r="E57" s="1"/>
      <c r="F57" s="1"/>
      <c r="G57" s="1"/>
      <c r="H57" s="1"/>
      <c r="I57" s="1"/>
      <c r="J57" s="1"/>
      <c r="K57" s="1"/>
    </row>
    <row r="58" spans="1:11" ht="15.75" customHeight="1">
      <c r="A58" s="1"/>
      <c r="B58" s="1"/>
      <c r="C58" s="1"/>
      <c r="D58" s="1"/>
      <c r="E58" s="1"/>
      <c r="F58" s="1"/>
      <c r="G58" s="1"/>
      <c r="H58" s="1"/>
      <c r="I58" s="1"/>
      <c r="J58" s="1"/>
      <c r="K58" s="1"/>
    </row>
    <row r="59" spans="1:11" ht="15.75" customHeight="1">
      <c r="A59" s="1"/>
      <c r="B59" s="1"/>
      <c r="C59" s="1"/>
      <c r="D59" s="1"/>
      <c r="E59" s="1"/>
      <c r="F59" s="1"/>
      <c r="G59" s="1"/>
      <c r="H59" s="1"/>
      <c r="I59" s="1"/>
      <c r="J59" s="1"/>
      <c r="K59" s="1"/>
    </row>
    <row r="60" spans="1:11" ht="15.75" customHeight="1">
      <c r="A60" s="1"/>
      <c r="B60" s="1"/>
      <c r="C60" s="1"/>
      <c r="D60" s="1"/>
      <c r="E60" s="1"/>
      <c r="F60" s="1"/>
      <c r="G60" s="1"/>
      <c r="H60" s="1"/>
      <c r="I60" s="1"/>
      <c r="J60" s="1"/>
      <c r="K60" s="1"/>
    </row>
    <row r="61" spans="1:11" ht="15.75" customHeight="1">
      <c r="A61" s="1"/>
      <c r="B61" s="1"/>
      <c r="C61" s="1"/>
      <c r="D61" s="1"/>
      <c r="E61" s="1"/>
      <c r="F61" s="1"/>
      <c r="G61" s="1"/>
      <c r="H61" s="1"/>
      <c r="I61" s="1"/>
      <c r="J61" s="1"/>
      <c r="K61" s="1"/>
    </row>
    <row r="62" spans="1:11" ht="15.75" customHeight="1">
      <c r="A62" s="1"/>
      <c r="B62" s="1"/>
      <c r="C62" s="1"/>
      <c r="D62" s="1"/>
      <c r="E62" s="1"/>
      <c r="F62" s="1"/>
      <c r="G62" s="1"/>
      <c r="H62" s="1"/>
      <c r="I62" s="1"/>
      <c r="J62" s="1"/>
      <c r="K62" s="1"/>
    </row>
    <row r="63" spans="1:11" ht="15.75" customHeight="1">
      <c r="A63" s="1"/>
      <c r="B63" s="1"/>
      <c r="C63" s="1"/>
      <c r="D63" s="1"/>
      <c r="E63" s="1"/>
      <c r="F63" s="1"/>
      <c r="G63" s="1"/>
      <c r="H63" s="1"/>
      <c r="I63" s="1"/>
      <c r="J63" s="1"/>
      <c r="K63" s="1"/>
    </row>
    <row r="64" spans="1:11" ht="15.75" customHeight="1">
      <c r="A64" s="1"/>
      <c r="B64" s="1"/>
      <c r="C64" s="1"/>
      <c r="D64" s="1"/>
      <c r="E64" s="1"/>
      <c r="F64" s="1"/>
      <c r="G64" s="1"/>
      <c r="H64" s="1"/>
      <c r="I64" s="1"/>
      <c r="J64" s="1"/>
      <c r="K64" s="1"/>
    </row>
    <row r="65" spans="1:11" ht="15.75" customHeight="1">
      <c r="A65" s="1"/>
      <c r="B65" s="1"/>
      <c r="C65" s="1"/>
      <c r="D65" s="1"/>
      <c r="E65" s="1"/>
      <c r="F65" s="1"/>
      <c r="G65" s="1"/>
      <c r="H65" s="1"/>
      <c r="I65" s="1"/>
      <c r="J65" s="1"/>
      <c r="K65" s="1"/>
    </row>
    <row r="66" spans="1:11" ht="15.75" customHeight="1">
      <c r="A66" s="1"/>
      <c r="B66" s="1"/>
      <c r="C66" s="1"/>
      <c r="D66" s="1"/>
      <c r="E66" s="1"/>
      <c r="F66" s="1"/>
      <c r="G66" s="1"/>
      <c r="H66" s="1"/>
      <c r="I66" s="1"/>
      <c r="J66" s="1"/>
      <c r="K66" s="1"/>
    </row>
    <row r="67" spans="1:11" ht="15.75" customHeight="1">
      <c r="A67" s="1"/>
      <c r="B67" s="1"/>
      <c r="C67" s="1"/>
      <c r="D67" s="1"/>
      <c r="E67" s="1"/>
      <c r="F67" s="1"/>
      <c r="G67" s="1"/>
      <c r="H67" s="1"/>
      <c r="I67" s="1"/>
      <c r="J67" s="1"/>
      <c r="K67" s="1"/>
    </row>
    <row r="68" spans="1:11" ht="15.75" customHeight="1">
      <c r="A68" s="1"/>
      <c r="B68" s="1"/>
      <c r="C68" s="1"/>
      <c r="D68" s="1"/>
      <c r="E68" s="1"/>
      <c r="F68" s="1"/>
      <c r="G68" s="1"/>
      <c r="H68" s="1"/>
      <c r="I68" s="1"/>
      <c r="J68" s="1"/>
      <c r="K68" s="1"/>
    </row>
    <row r="69" spans="1:11" ht="15.75" customHeight="1">
      <c r="A69" s="1"/>
      <c r="B69" s="1"/>
      <c r="C69" s="1"/>
      <c r="D69" s="1"/>
      <c r="E69" s="1"/>
      <c r="F69" s="1"/>
      <c r="G69" s="1"/>
      <c r="H69" s="1"/>
      <c r="I69" s="1"/>
      <c r="J69" s="1"/>
      <c r="K69" s="1"/>
    </row>
    <row r="70" spans="1:11" ht="15.75" customHeight="1">
      <c r="A70" s="1"/>
      <c r="B70" s="1"/>
      <c r="C70" s="1"/>
      <c r="D70" s="1"/>
      <c r="E70" s="1"/>
      <c r="F70" s="1"/>
      <c r="G70" s="1"/>
      <c r="H70" s="1"/>
      <c r="I70" s="1"/>
      <c r="J70" s="1"/>
      <c r="K70" s="1"/>
    </row>
    <row r="71" spans="1:11" ht="15.75" customHeight="1">
      <c r="A71" s="1"/>
      <c r="B71" s="1"/>
      <c r="C71" s="1"/>
      <c r="D71" s="1"/>
      <c r="E71" s="1"/>
      <c r="F71" s="1"/>
      <c r="G71" s="1"/>
      <c r="H71" s="1"/>
      <c r="I71" s="1"/>
      <c r="J71" s="1"/>
      <c r="K71" s="1"/>
    </row>
    <row r="72" spans="1:11" ht="15.75" customHeight="1">
      <c r="A72" s="1"/>
      <c r="B72" s="1"/>
      <c r="C72" s="1"/>
      <c r="D72" s="1"/>
      <c r="E72" s="1"/>
      <c r="F72" s="1"/>
      <c r="G72" s="1"/>
      <c r="H72" s="1"/>
      <c r="I72" s="1"/>
      <c r="J72" s="1"/>
      <c r="K72" s="1"/>
    </row>
    <row r="73" spans="1:11" ht="15.75" customHeight="1">
      <c r="A73" s="1"/>
      <c r="B73" s="1"/>
      <c r="C73" s="1"/>
      <c r="D73" s="1"/>
      <c r="E73" s="1"/>
      <c r="F73" s="1"/>
      <c r="G73" s="1"/>
      <c r="H73" s="1"/>
      <c r="I73" s="1"/>
      <c r="J73" s="1"/>
      <c r="K73" s="1"/>
    </row>
    <row r="74" spans="1:11" ht="15.75" customHeight="1">
      <c r="A74" s="1"/>
      <c r="B74" s="1"/>
      <c r="C74" s="1"/>
      <c r="D74" s="1"/>
      <c r="E74" s="1"/>
      <c r="F74" s="1"/>
      <c r="G74" s="1"/>
      <c r="H74" s="1"/>
      <c r="I74" s="1"/>
      <c r="J74" s="1"/>
      <c r="K74" s="1"/>
    </row>
    <row r="75" spans="1:11" ht="15.75" customHeight="1">
      <c r="A75" s="1"/>
      <c r="B75" s="1"/>
      <c r="C75" s="1"/>
      <c r="D75" s="1"/>
      <c r="E75" s="1"/>
      <c r="F75" s="1"/>
      <c r="G75" s="1"/>
      <c r="H75" s="1"/>
      <c r="I75" s="1"/>
      <c r="J75" s="1"/>
      <c r="K75" s="1"/>
    </row>
    <row r="76" spans="1:11" ht="15.75" customHeight="1">
      <c r="A76" s="1"/>
      <c r="B76" s="1"/>
      <c r="C76" s="1"/>
      <c r="D76" s="1"/>
      <c r="E76" s="1"/>
      <c r="F76" s="1"/>
      <c r="G76" s="1"/>
      <c r="H76" s="1"/>
      <c r="I76" s="1"/>
      <c r="J76" s="1"/>
      <c r="K76" s="1"/>
    </row>
    <row r="77" spans="1:11" ht="15.75" customHeight="1">
      <c r="A77" s="1"/>
      <c r="B77" s="1"/>
      <c r="C77" s="1"/>
      <c r="D77" s="1"/>
      <c r="E77" s="1"/>
      <c r="F77" s="1"/>
      <c r="G77" s="1"/>
      <c r="H77" s="1"/>
      <c r="I77" s="1"/>
      <c r="J77" s="1"/>
      <c r="K77" s="1"/>
    </row>
    <row r="78" spans="1:11" ht="15.75" customHeight="1">
      <c r="A78" s="1"/>
      <c r="B78" s="1"/>
      <c r="C78" s="1"/>
      <c r="D78" s="1"/>
      <c r="E78" s="1"/>
      <c r="F78" s="1"/>
      <c r="G78" s="1"/>
      <c r="H78" s="1"/>
      <c r="I78" s="1"/>
      <c r="J78" s="1"/>
      <c r="K78" s="1"/>
    </row>
    <row r="79" spans="1:11" ht="15.75" customHeight="1">
      <c r="A79" s="1"/>
      <c r="B79" s="1"/>
      <c r="C79" s="1"/>
      <c r="D79" s="1"/>
      <c r="E79" s="1"/>
      <c r="F79" s="1"/>
      <c r="G79" s="1"/>
      <c r="H79" s="1"/>
      <c r="I79" s="1"/>
      <c r="J79" s="1"/>
      <c r="K79" s="1"/>
    </row>
    <row r="80" spans="1:11" ht="15.75" customHeight="1">
      <c r="A80" s="1"/>
      <c r="B80" s="1"/>
      <c r="C80" s="1"/>
      <c r="D80" s="1"/>
      <c r="E80" s="1"/>
      <c r="F80" s="1"/>
      <c r="G80" s="1"/>
      <c r="H80" s="1"/>
      <c r="I80" s="1"/>
      <c r="J80" s="1"/>
      <c r="K80" s="1"/>
    </row>
    <row r="81" spans="1:11" ht="15.75" customHeight="1">
      <c r="A81" s="1"/>
      <c r="B81" s="1"/>
      <c r="C81" s="1"/>
      <c r="D81" s="1"/>
      <c r="E81" s="1"/>
      <c r="F81" s="1"/>
      <c r="G81" s="1"/>
      <c r="H81" s="1"/>
      <c r="I81" s="1"/>
      <c r="J81" s="1"/>
      <c r="K81" s="1"/>
    </row>
    <row r="82" spans="1:11" ht="15.75" customHeight="1">
      <c r="A82" s="1"/>
      <c r="B82" s="1"/>
      <c r="C82" s="1"/>
      <c r="D82" s="1"/>
      <c r="E82" s="1"/>
      <c r="F82" s="1"/>
      <c r="G82" s="1"/>
      <c r="H82" s="1"/>
      <c r="I82" s="1"/>
      <c r="J82" s="1"/>
      <c r="K82" s="1"/>
    </row>
    <row r="83" spans="1:11" ht="15.75" customHeight="1">
      <c r="A83" s="1"/>
      <c r="B83" s="1"/>
      <c r="C83" s="1"/>
      <c r="D83" s="1"/>
      <c r="E83" s="1"/>
      <c r="F83" s="1"/>
      <c r="G83" s="1"/>
      <c r="H83" s="1"/>
      <c r="I83" s="1"/>
      <c r="J83" s="1"/>
      <c r="K83" s="1"/>
    </row>
    <row r="84" spans="1:11" ht="15.75" customHeight="1">
      <c r="A84" s="1"/>
      <c r="B84" s="1"/>
      <c r="C84" s="1"/>
      <c r="D84" s="1"/>
      <c r="E84" s="1"/>
      <c r="F84" s="1"/>
      <c r="G84" s="1"/>
      <c r="H84" s="1"/>
      <c r="I84" s="1"/>
      <c r="J84" s="1"/>
      <c r="K84" s="1"/>
    </row>
    <row r="85" spans="1:11" ht="15.75" customHeight="1">
      <c r="A85" s="1"/>
      <c r="B85" s="1"/>
      <c r="C85" s="1"/>
      <c r="D85" s="1"/>
      <c r="E85" s="1"/>
      <c r="F85" s="1"/>
      <c r="G85" s="1"/>
      <c r="H85" s="1"/>
      <c r="I85" s="1"/>
      <c r="J85" s="1"/>
      <c r="K85" s="1"/>
    </row>
    <row r="86" spans="1:11" ht="15.75" customHeight="1">
      <c r="A86" s="1"/>
      <c r="B86" s="1"/>
      <c r="C86" s="1"/>
      <c r="D86" s="1"/>
      <c r="E86" s="1"/>
      <c r="F86" s="1"/>
      <c r="G86" s="1"/>
      <c r="H86" s="1"/>
      <c r="I86" s="1"/>
      <c r="J86" s="1"/>
      <c r="K86" s="1"/>
    </row>
    <row r="87" spans="1:11" ht="15.75" customHeight="1">
      <c r="A87" s="1"/>
      <c r="B87" s="1"/>
      <c r="C87" s="1"/>
      <c r="D87" s="1"/>
      <c r="E87" s="1"/>
      <c r="F87" s="1"/>
      <c r="G87" s="1"/>
      <c r="H87" s="1"/>
      <c r="I87" s="1"/>
      <c r="J87" s="1"/>
      <c r="K87" s="1"/>
    </row>
    <row r="88" spans="1:11" ht="15.75" customHeight="1">
      <c r="A88" s="1"/>
      <c r="B88" s="1"/>
      <c r="C88" s="1"/>
      <c r="D88" s="1"/>
      <c r="E88" s="1"/>
      <c r="F88" s="1"/>
      <c r="G88" s="1"/>
      <c r="H88" s="1"/>
      <c r="I88" s="1"/>
      <c r="J88" s="1"/>
      <c r="K88" s="1"/>
    </row>
    <row r="89" spans="1:11" ht="15.75" customHeight="1">
      <c r="A89" s="1"/>
      <c r="B89" s="1"/>
      <c r="C89" s="1"/>
      <c r="D89" s="1"/>
      <c r="E89" s="1"/>
      <c r="F89" s="1"/>
      <c r="G89" s="1"/>
      <c r="H89" s="1"/>
      <c r="I89" s="1"/>
      <c r="J89" s="1"/>
      <c r="K89" s="1"/>
    </row>
    <row r="90" spans="1:11" ht="15.75" customHeight="1">
      <c r="A90" s="1"/>
      <c r="B90" s="1"/>
      <c r="C90" s="1"/>
      <c r="D90" s="1"/>
      <c r="E90" s="1"/>
      <c r="F90" s="1"/>
      <c r="G90" s="1"/>
      <c r="H90" s="1"/>
      <c r="I90" s="1"/>
      <c r="J90" s="1"/>
      <c r="K90" s="1"/>
    </row>
    <row r="91" spans="1:11" ht="15.75" customHeight="1">
      <c r="A91" s="1"/>
      <c r="B91" s="1"/>
      <c r="C91" s="1"/>
      <c r="D91" s="1"/>
      <c r="E91" s="1"/>
      <c r="F91" s="1"/>
      <c r="G91" s="1"/>
      <c r="H91" s="1"/>
      <c r="I91" s="1"/>
      <c r="J91" s="1"/>
      <c r="K91" s="1"/>
    </row>
    <row r="92" spans="1:11" ht="15.75" customHeight="1">
      <c r="A92" s="1"/>
      <c r="B92" s="1"/>
      <c r="C92" s="1"/>
      <c r="D92" s="1"/>
      <c r="E92" s="1"/>
      <c r="F92" s="1"/>
      <c r="G92" s="1"/>
      <c r="H92" s="1"/>
      <c r="I92" s="1"/>
      <c r="J92" s="1"/>
      <c r="K92" s="1"/>
    </row>
    <row r="93" spans="1:11" ht="15.75" customHeight="1">
      <c r="A93" s="1"/>
      <c r="B93" s="1"/>
      <c r="C93" s="1"/>
      <c r="D93" s="1"/>
      <c r="E93" s="1"/>
      <c r="F93" s="1"/>
      <c r="G93" s="1"/>
      <c r="H93" s="1"/>
      <c r="I93" s="1"/>
      <c r="J93" s="1"/>
      <c r="K93" s="1"/>
    </row>
    <row r="94" spans="1:11" ht="15.75" customHeight="1">
      <c r="A94" s="1"/>
      <c r="B94" s="1"/>
      <c r="C94" s="1"/>
      <c r="D94" s="1"/>
      <c r="E94" s="1"/>
      <c r="F94" s="1"/>
      <c r="G94" s="1"/>
      <c r="H94" s="1"/>
      <c r="I94" s="1"/>
      <c r="J94" s="1"/>
      <c r="K94" s="1"/>
    </row>
    <row r="95" spans="1:11" ht="15.75" customHeight="1">
      <c r="A95" s="1"/>
      <c r="B95" s="1"/>
      <c r="C95" s="1"/>
      <c r="D95" s="1"/>
      <c r="E95" s="1"/>
      <c r="F95" s="1"/>
      <c r="G95" s="1"/>
      <c r="H95" s="1"/>
      <c r="I95" s="1"/>
      <c r="J95" s="1"/>
      <c r="K95" s="1"/>
    </row>
    <row r="96" spans="1:11" ht="15.75" customHeight="1">
      <c r="A96" s="1"/>
      <c r="B96" s="1"/>
      <c r="C96" s="1"/>
      <c r="D96" s="1"/>
      <c r="E96" s="1"/>
      <c r="F96" s="1"/>
      <c r="G96" s="1"/>
      <c r="H96" s="1"/>
      <c r="I96" s="1"/>
      <c r="J96" s="1"/>
      <c r="K96" s="1"/>
    </row>
    <row r="97" spans="1:11" ht="15.75" customHeight="1">
      <c r="A97" s="1"/>
      <c r="B97" s="1"/>
      <c r="C97" s="1"/>
      <c r="D97" s="1"/>
      <c r="E97" s="1"/>
      <c r="F97" s="1"/>
      <c r="G97" s="1"/>
      <c r="H97" s="1"/>
      <c r="I97" s="1"/>
      <c r="J97" s="1"/>
      <c r="K97" s="1"/>
    </row>
    <row r="98" spans="1:11" ht="15.75" customHeight="1">
      <c r="A98" s="1"/>
      <c r="B98" s="1"/>
      <c r="C98" s="1"/>
      <c r="D98" s="1"/>
      <c r="E98" s="1"/>
      <c r="F98" s="1"/>
      <c r="G98" s="1"/>
      <c r="H98" s="1"/>
      <c r="I98" s="1"/>
      <c r="J98" s="1"/>
      <c r="K98" s="1"/>
    </row>
    <row r="99" spans="1:11" ht="15.75" customHeight="1">
      <c r="A99" s="1"/>
      <c r="B99" s="1"/>
      <c r="C99" s="1"/>
      <c r="D99" s="1"/>
      <c r="E99" s="1"/>
      <c r="F99" s="1"/>
      <c r="G99" s="1"/>
      <c r="H99" s="1"/>
      <c r="I99" s="1"/>
      <c r="J99" s="1"/>
      <c r="K99" s="1"/>
    </row>
    <row r="100" spans="1:11" ht="15.75" customHeight="1">
      <c r="A100" s="1"/>
      <c r="B100" s="1"/>
      <c r="C100" s="1"/>
      <c r="D100" s="1"/>
      <c r="E100" s="1"/>
      <c r="F100" s="1"/>
      <c r="G100" s="1"/>
      <c r="H100" s="1"/>
      <c r="I100" s="1"/>
      <c r="J100" s="1"/>
      <c r="K100" s="1"/>
    </row>
  </sheetData>
  <mergeCells count="15">
    <mergeCell ref="A37:E37"/>
    <mergeCell ref="A1:E1"/>
    <mergeCell ref="A2:E2"/>
    <mergeCell ref="A3:E3"/>
    <mergeCell ref="A4:E4"/>
    <mergeCell ref="C21:C26"/>
    <mergeCell ref="A9:E9"/>
    <mergeCell ref="A13:E13"/>
    <mergeCell ref="A14:E14"/>
    <mergeCell ref="A5:E5"/>
    <mergeCell ref="A6:E6"/>
    <mergeCell ref="A7:E7"/>
    <mergeCell ref="A8:E8"/>
    <mergeCell ref="B12:E12"/>
    <mergeCell ref="B11:E11"/>
  </mergeCells>
  <pageMargins left="0.7" right="0.7" top="0.75" bottom="0.75"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01"/>
  <sheetViews>
    <sheetView view="pageBreakPreview" topLeftCell="A10" zoomScale="60" workbookViewId="0">
      <selection activeCell="B29" sqref="B29"/>
    </sheetView>
  </sheetViews>
  <sheetFormatPr defaultColWidth="14.42578125" defaultRowHeight="15" customHeight="1"/>
  <cols>
    <col min="1" max="1" width="3.5703125" customWidth="1"/>
    <col min="2" max="2" width="38.42578125" customWidth="1"/>
    <col min="3" max="3" width="22.7109375" customWidth="1"/>
    <col min="4" max="4" width="19" customWidth="1"/>
    <col min="5" max="5" width="19.5703125" customWidth="1"/>
    <col min="6" max="6" width="19.42578125" customWidth="1"/>
    <col min="7" max="7" width="23.140625" customWidth="1"/>
    <col min="8" max="8" width="21.5703125" customWidth="1"/>
    <col min="9" max="9" width="20.28515625" customWidth="1"/>
    <col min="10" max="11" width="8.7109375" customWidth="1"/>
  </cols>
  <sheetData>
    <row r="1" spans="1:10" ht="21">
      <c r="A1" s="345"/>
      <c r="B1" s="346"/>
      <c r="C1" s="346"/>
      <c r="D1" s="346"/>
      <c r="E1" s="346"/>
      <c r="F1" s="346"/>
      <c r="G1" s="346"/>
      <c r="H1" s="347"/>
      <c r="I1" s="347"/>
    </row>
    <row r="2" spans="1:10" ht="21">
      <c r="A2" s="348" t="s">
        <v>398</v>
      </c>
      <c r="B2" s="346"/>
      <c r="C2" s="346"/>
      <c r="D2" s="346"/>
      <c r="E2" s="346"/>
      <c r="F2" s="346"/>
      <c r="G2" s="346"/>
      <c r="H2" s="346"/>
      <c r="I2" s="346"/>
      <c r="J2" s="135"/>
    </row>
    <row r="3" spans="1:10" ht="15" customHeight="1">
      <c r="A3" s="347"/>
      <c r="B3" s="347"/>
      <c r="C3" s="347"/>
      <c r="D3" s="347"/>
      <c r="E3" s="347"/>
      <c r="F3" s="347"/>
      <c r="G3" s="347"/>
      <c r="H3" s="347"/>
      <c r="I3" s="347"/>
    </row>
    <row r="4" spans="1:10" ht="40.5">
      <c r="A4" s="349" t="s">
        <v>399</v>
      </c>
      <c r="B4" s="349" t="s">
        <v>150</v>
      </c>
      <c r="C4" s="350" t="s">
        <v>153</v>
      </c>
      <c r="D4" s="350" t="s">
        <v>154</v>
      </c>
      <c r="E4" s="350" t="s">
        <v>155</v>
      </c>
      <c r="F4" s="350" t="s">
        <v>156</v>
      </c>
      <c r="G4" s="350" t="s">
        <v>157</v>
      </c>
      <c r="H4" s="350" t="s">
        <v>158</v>
      </c>
      <c r="I4" s="350" t="s">
        <v>159</v>
      </c>
    </row>
    <row r="5" spans="1:10" ht="20.25">
      <c r="A5" s="351">
        <v>1</v>
      </c>
      <c r="B5" s="351" t="s">
        <v>400</v>
      </c>
      <c r="C5" s="352"/>
      <c r="D5" s="352"/>
      <c r="E5" s="352"/>
      <c r="F5" s="352"/>
      <c r="G5" s="352"/>
      <c r="H5" s="352"/>
      <c r="I5" s="352"/>
    </row>
    <row r="6" spans="1:10" ht="20.25">
      <c r="A6" s="351"/>
      <c r="B6" s="353" t="s">
        <v>401</v>
      </c>
      <c r="C6" s="352">
        <f>'6.Cons Profit &amp; Loss'!B12</f>
        <v>200841571.53352499</v>
      </c>
      <c r="D6" s="352">
        <f>'6.Cons Profit &amp; Loss'!C12</f>
        <v>229343696.56894454</v>
      </c>
      <c r="E6" s="352">
        <f>'6.Cons Profit &amp; Loss'!D12</f>
        <v>255068550.63141665</v>
      </c>
      <c r="F6" s="352">
        <f>'6.Cons Profit &amp; Loss'!E12</f>
        <v>281609863.11064368</v>
      </c>
      <c r="G6" s="352">
        <f>'6.Cons Profit &amp; Loss'!F12</f>
        <v>308967634.00662577</v>
      </c>
      <c r="H6" s="352">
        <f>'6.Cons Profit &amp; Loss'!G12</f>
        <v>337009863.31936288</v>
      </c>
      <c r="I6" s="352">
        <f>'6.Cons Profit &amp; Loss'!H12</f>
        <v>365863751.04885501</v>
      </c>
    </row>
    <row r="7" spans="1:10" ht="20.25">
      <c r="A7" s="351">
        <v>2</v>
      </c>
      <c r="B7" s="351" t="s">
        <v>402</v>
      </c>
      <c r="C7" s="352">
        <f>'1.Project Cost and MOF'!E21</f>
        <v>8134748.5875394279</v>
      </c>
      <c r="D7" s="352"/>
      <c r="E7" s="352"/>
      <c r="F7" s="352"/>
      <c r="G7" s="352"/>
      <c r="H7" s="352"/>
      <c r="I7" s="352"/>
    </row>
    <row r="8" spans="1:10" ht="20.25" hidden="1">
      <c r="A8" s="351"/>
      <c r="B8" s="351" t="s">
        <v>403</v>
      </c>
      <c r="C8" s="352"/>
      <c r="D8" s="352"/>
      <c r="E8" s="352"/>
      <c r="F8" s="352"/>
      <c r="G8" s="352"/>
      <c r="H8" s="352"/>
      <c r="I8" s="352"/>
    </row>
    <row r="9" spans="1:10" ht="20.25">
      <c r="A9" s="351">
        <v>3</v>
      </c>
      <c r="B9" s="351" t="str">
        <f>'7.Balance Sheet'!A34</f>
        <v>Smart Grant -in-Aid</v>
      </c>
      <c r="C9" s="352">
        <f>'1.Project Cost and MOF'!E19</f>
        <v>20000000</v>
      </c>
      <c r="D9" s="352"/>
      <c r="E9" s="352"/>
      <c r="F9" s="352"/>
      <c r="G9" s="352"/>
      <c r="H9" s="352"/>
      <c r="I9" s="352"/>
    </row>
    <row r="10" spans="1:10" ht="20.25">
      <c r="A10" s="351">
        <v>4</v>
      </c>
      <c r="B10" s="351" t="s">
        <v>404</v>
      </c>
      <c r="C10" s="352">
        <f>'1.Project Cost and MOF'!E20</f>
        <v>7499999.6468848577</v>
      </c>
      <c r="D10" s="352"/>
      <c r="E10" s="352"/>
      <c r="F10" s="352"/>
      <c r="G10" s="352"/>
      <c r="H10" s="352"/>
      <c r="I10" s="352"/>
    </row>
    <row r="11" spans="1:10" ht="20.25">
      <c r="A11" s="351">
        <v>5</v>
      </c>
      <c r="B11" s="351" t="s">
        <v>405</v>
      </c>
      <c r="C11" s="352">
        <f>'5.Closing Stock &amp; W Capital'!E51*75%-83360</f>
        <v>4399126.7032728586</v>
      </c>
      <c r="D11" s="352">
        <v>0</v>
      </c>
      <c r="E11" s="352">
        <f t="shared" ref="E11:I11" si="0">+D11</f>
        <v>0</v>
      </c>
      <c r="F11" s="352">
        <f t="shared" si="0"/>
        <v>0</v>
      </c>
      <c r="G11" s="352">
        <f t="shared" si="0"/>
        <v>0</v>
      </c>
      <c r="H11" s="352">
        <f t="shared" si="0"/>
        <v>0</v>
      </c>
      <c r="I11" s="352">
        <f t="shared" si="0"/>
        <v>0</v>
      </c>
    </row>
    <row r="12" spans="1:10" ht="40.5">
      <c r="A12" s="351">
        <v>6</v>
      </c>
      <c r="B12" s="351" t="s">
        <v>722</v>
      </c>
      <c r="C12" s="352">
        <f>+'7.Balance Sheet'!B25</f>
        <v>3757588.7864407254</v>
      </c>
      <c r="D12" s="352">
        <f>+'7.Balance Sheet'!C25-'7.Balance Sheet'!B25</f>
        <v>542412.20291720051</v>
      </c>
      <c r="E12" s="352">
        <f>+'7.Balance Sheet'!D25-'7.Balance Sheet'!C25</f>
        <v>482352.27852176782</v>
      </c>
      <c r="F12" s="352">
        <f>+'7.Balance Sheet'!E25-'7.Balance Sheet'!D25</f>
        <v>497459.22043623403</v>
      </c>
      <c r="G12" s="352">
        <f>+'7.Balance Sheet'!F25-'7.Balance Sheet'!E25</f>
        <v>512739.92958917655</v>
      </c>
      <c r="H12" s="352">
        <f>+'7.Balance Sheet'!G25-'7.Balance Sheet'!F25</f>
        <v>528020.63874211814</v>
      </c>
      <c r="I12" s="352">
        <f>+'7.Balance Sheet'!H25-'7.Balance Sheet'!G25</f>
        <v>543301.3478950616</v>
      </c>
    </row>
    <row r="13" spans="1:10" ht="20.25">
      <c r="A13" s="351"/>
      <c r="B13" s="351" t="s">
        <v>406</v>
      </c>
      <c r="C13" s="354">
        <f t="shared" ref="C13:I13" si="1">SUM(C6:C12)</f>
        <v>244633035.25766286</v>
      </c>
      <c r="D13" s="354">
        <f t="shared" si="1"/>
        <v>229886108.77186173</v>
      </c>
      <c r="E13" s="354">
        <f t="shared" si="1"/>
        <v>255550902.90993842</v>
      </c>
      <c r="F13" s="354">
        <f t="shared" si="1"/>
        <v>282107322.3310799</v>
      </c>
      <c r="G13" s="354">
        <f t="shared" si="1"/>
        <v>309480373.93621492</v>
      </c>
      <c r="H13" s="354">
        <f t="shared" si="1"/>
        <v>337537883.95810497</v>
      </c>
      <c r="I13" s="354">
        <f t="shared" si="1"/>
        <v>366407052.39675009</v>
      </c>
    </row>
    <row r="14" spans="1:10" ht="21">
      <c r="A14" s="355" t="s">
        <v>407</v>
      </c>
      <c r="B14" s="356"/>
      <c r="C14" s="357"/>
      <c r="D14" s="357"/>
      <c r="E14" s="357"/>
      <c r="F14" s="357"/>
      <c r="G14" s="357"/>
      <c r="H14" s="357"/>
      <c r="I14" s="357"/>
    </row>
    <row r="15" spans="1:10" ht="20.25">
      <c r="A15" s="351">
        <v>1</v>
      </c>
      <c r="B15" s="351" t="s">
        <v>408</v>
      </c>
      <c r="C15" s="357"/>
      <c r="D15" s="357"/>
      <c r="E15" s="357"/>
      <c r="F15" s="357"/>
      <c r="G15" s="357"/>
      <c r="H15" s="357"/>
      <c r="I15" s="357"/>
    </row>
    <row r="16" spans="1:10" ht="20.25">
      <c r="A16" s="358" t="s">
        <v>409</v>
      </c>
      <c r="B16" s="357" t="str">
        <f>+'1.Project Cost and MOF'!C5</f>
        <v>Land and Building</v>
      </c>
      <c r="C16" s="359">
        <f>'1.Project Cost and MOF'!D5</f>
        <v>13530240</v>
      </c>
      <c r="D16" s="359"/>
      <c r="E16" s="359"/>
      <c r="F16" s="359"/>
      <c r="G16" s="359"/>
      <c r="H16" s="359"/>
      <c r="I16" s="359"/>
    </row>
    <row r="17" spans="1:9" ht="20.25">
      <c r="A17" s="358" t="s">
        <v>410</v>
      </c>
      <c r="B17" s="360" t="str">
        <f>+'1.Project Cost and MOF'!C6</f>
        <v>Machinery and Equipment</v>
      </c>
      <c r="C17" s="359">
        <f>'1.Project Cost and MOF'!D6</f>
        <v>18719960</v>
      </c>
      <c r="D17" s="359"/>
      <c r="E17" s="359"/>
      <c r="F17" s="359"/>
      <c r="G17" s="359"/>
      <c r="H17" s="359"/>
      <c r="I17" s="359"/>
    </row>
    <row r="18" spans="1:9" ht="20.25">
      <c r="A18" s="358" t="s">
        <v>411</v>
      </c>
      <c r="B18" s="360" t="s">
        <v>412</v>
      </c>
      <c r="C18" s="359">
        <f>'1.Project Cost and MOF'!D7</f>
        <v>1200000</v>
      </c>
      <c r="D18" s="359"/>
      <c r="E18" s="359"/>
      <c r="F18" s="359"/>
      <c r="G18" s="359"/>
      <c r="H18" s="359"/>
      <c r="I18" s="359"/>
    </row>
    <row r="19" spans="1:9" ht="20.25">
      <c r="A19" s="358" t="s">
        <v>413</v>
      </c>
      <c r="B19" s="360" t="s">
        <v>414</v>
      </c>
      <c r="C19" s="359">
        <f>'1.Project Cost and MOF'!D8</f>
        <v>107026</v>
      </c>
      <c r="D19" s="359"/>
      <c r="E19" s="359"/>
      <c r="F19" s="359"/>
      <c r="G19" s="359"/>
      <c r="H19" s="359"/>
      <c r="I19" s="359"/>
    </row>
    <row r="20" spans="1:9" ht="20.25">
      <c r="A20" s="358" t="s">
        <v>415</v>
      </c>
      <c r="B20" s="360" t="s">
        <v>416</v>
      </c>
      <c r="C20" s="359">
        <f>'1.Project Cost and MOF'!D10</f>
        <v>500000</v>
      </c>
      <c r="D20" s="352"/>
      <c r="E20" s="352"/>
      <c r="F20" s="352"/>
      <c r="G20" s="352"/>
      <c r="H20" s="352"/>
      <c r="I20" s="352"/>
    </row>
    <row r="21" spans="1:9" ht="15.75" customHeight="1">
      <c r="A21" s="351">
        <v>2</v>
      </c>
      <c r="B21" s="351" t="s">
        <v>417</v>
      </c>
      <c r="C21" s="357"/>
      <c r="D21" s="357"/>
      <c r="E21" s="357"/>
      <c r="F21" s="357"/>
      <c r="G21" s="357"/>
      <c r="H21" s="357"/>
      <c r="I21" s="357"/>
    </row>
    <row r="22" spans="1:9" ht="15.75" customHeight="1">
      <c r="A22" s="358" t="s">
        <v>409</v>
      </c>
      <c r="B22" s="357" t="s">
        <v>352</v>
      </c>
      <c r="C22" s="352">
        <f>'6.Cons Profit &amp; Loss'!B19</f>
        <v>195931415.29298067</v>
      </c>
      <c r="D22" s="352">
        <f>'6.Cons Profit &amp; Loss'!C19</f>
        <v>224214337.30223471</v>
      </c>
      <c r="E22" s="352">
        <f>'6.Cons Profit &amp; Loss'!D19</f>
        <v>249365563.2537269</v>
      </c>
      <c r="F22" s="352">
        <f>'6.Cons Profit &amp; Loss'!E19</f>
        <v>275304508.31933045</v>
      </c>
      <c r="G22" s="352">
        <f>'6.Cons Profit &amp; Loss'!F19</f>
        <v>302040233.21933758</v>
      </c>
      <c r="H22" s="352">
        <f>'6.Cons Profit &amp; Loss'!G19</f>
        <v>329572737.95374799</v>
      </c>
      <c r="I22" s="352">
        <f>'6.Cons Profit &amp; Loss'!H19</f>
        <v>357902022.52256191</v>
      </c>
    </row>
    <row r="23" spans="1:9" ht="15.75" customHeight="1">
      <c r="A23" s="358" t="s">
        <v>410</v>
      </c>
      <c r="B23" s="357" t="s">
        <v>354</v>
      </c>
      <c r="C23" s="352">
        <f>'6.Cons Profit &amp; Loss'!B26</f>
        <v>1419000</v>
      </c>
      <c r="D23" s="352">
        <f>'6.Cons Profit &amp; Loss'!C26</f>
        <v>1469070</v>
      </c>
      <c r="E23" s="352">
        <f>'6.Cons Profit &amp; Loss'!D26</f>
        <v>1520947.5</v>
      </c>
      <c r="F23" s="352">
        <f>'6.Cons Profit &amp; Loss'!E26</f>
        <v>1574722.875</v>
      </c>
      <c r="G23" s="352">
        <f>'6.Cons Profit &amp; Loss'!F26</f>
        <v>1630491.0187500003</v>
      </c>
      <c r="H23" s="352">
        <f>'6.Cons Profit &amp; Loss'!G26</f>
        <v>1688351.5696875001</v>
      </c>
      <c r="I23" s="352">
        <f>'6.Cons Profit &amp; Loss'!H26</f>
        <v>1748409.1481718756</v>
      </c>
    </row>
    <row r="24" spans="1:9" ht="15.75" customHeight="1">
      <c r="A24" s="361">
        <v>3</v>
      </c>
      <c r="B24" s="351" t="s">
        <v>418</v>
      </c>
      <c r="C24" s="352"/>
      <c r="D24" s="352"/>
      <c r="E24" s="352"/>
      <c r="F24" s="352"/>
      <c r="G24" s="352"/>
      <c r="H24" s="352"/>
      <c r="I24" s="352"/>
    </row>
    <row r="25" spans="1:9" ht="15.75" customHeight="1">
      <c r="A25" s="358"/>
      <c r="B25" s="357" t="s">
        <v>419</v>
      </c>
      <c r="C25" s="352">
        <f>SUM('4.TL repayment sch'!E10:E21)</f>
        <v>427260.90846334765</v>
      </c>
      <c r="D25" s="352">
        <f>SUM('4.TL repayment sch'!E22:E33)</f>
        <v>942032.7698433412</v>
      </c>
      <c r="E25" s="352">
        <f>SUM('4.TL repayment sch'!E34:E45)</f>
        <v>1072063.8908264132</v>
      </c>
      <c r="F25" s="352">
        <f>SUM('4.TL repayment sch'!E46:E57)</f>
        <v>1220043.5301258122</v>
      </c>
      <c r="G25" s="352">
        <f>SUM('4.TL repayment sch'!E58:E69)</f>
        <v>1388449.1662660346</v>
      </c>
      <c r="H25" s="352">
        <f>SUM('4.TL repayment sch'!E70:E81)</f>
        <v>1580100.2502804552</v>
      </c>
      <c r="I25" s="352">
        <f>SUM('4.TL repayment sch'!E82:E93)</f>
        <v>870049.13107945095</v>
      </c>
    </row>
    <row r="26" spans="1:9" ht="15.75" customHeight="1">
      <c r="A26" s="358"/>
      <c r="B26" s="357" t="s">
        <v>420</v>
      </c>
      <c r="C26" s="352">
        <f>SUM('4.TL repayment sch'!D10:D21)</f>
        <v>963573.7603433507</v>
      </c>
      <c r="D26" s="352">
        <f>SUM('4.TL repayment sch'!D22:D33)</f>
        <v>864636.61367502424</v>
      </c>
      <c r="E26" s="352">
        <f>SUM('4.TL repayment sch'!D34:D45)</f>
        <v>734605.49269195239</v>
      </c>
      <c r="F26" s="352">
        <f>SUM('4.TL repayment sch'!D46:D57)</f>
        <v>586625.85339255305</v>
      </c>
      <c r="G26" s="352">
        <f>SUM('4.TL repayment sch'!D58:D69)</f>
        <v>418220.21725233085</v>
      </c>
      <c r="H26" s="352">
        <f>SUM('4.TL repayment sch'!D70:D81)</f>
        <v>226569.13323790996</v>
      </c>
      <c r="I26" s="352">
        <f>SUM('4.TL repayment sch'!D82:D93)</f>
        <v>33285.560679731447</v>
      </c>
    </row>
    <row r="27" spans="1:9" ht="15.75" customHeight="1">
      <c r="A27" s="358"/>
      <c r="B27" s="357" t="s">
        <v>421</v>
      </c>
      <c r="C27" s="362">
        <f>+'6.Cons Profit &amp; Loss'!B38</f>
        <v>450910.48708546796</v>
      </c>
      <c r="D27" s="362">
        <f>+'6.Cons Profit &amp; Loss'!C38</f>
        <v>439912.67032728589</v>
      </c>
      <c r="E27" s="362">
        <f>+'6.Cons Profit &amp; Loss'!D38</f>
        <v>439912.67032728589</v>
      </c>
      <c r="F27" s="362">
        <f>+'6.Cons Profit &amp; Loss'!E38</f>
        <v>439912.67032728589</v>
      </c>
      <c r="G27" s="362">
        <f>+'6.Cons Profit &amp; Loss'!F38</f>
        <v>439912.67032728589</v>
      </c>
      <c r="H27" s="362">
        <f>+'6.Cons Profit &amp; Loss'!G38</f>
        <v>439912.67032728589</v>
      </c>
      <c r="I27" s="362">
        <f>+'6.Cons Profit &amp; Loss'!H38</f>
        <v>439912.67032728589</v>
      </c>
    </row>
    <row r="28" spans="1:9" ht="15.75" customHeight="1">
      <c r="A28" s="351">
        <v>4</v>
      </c>
      <c r="B28" s="351" t="s">
        <v>422</v>
      </c>
      <c r="C28" s="352">
        <f>'6.Cons Profit &amp; Loss'!B40</f>
        <v>0</v>
      </c>
      <c r="D28" s="352">
        <f>'6.Cons Profit &amp; Loss'!C40</f>
        <v>0</v>
      </c>
      <c r="E28" s="352">
        <f>'6.Cons Profit &amp; Loss'!D40</f>
        <v>0</v>
      </c>
      <c r="F28" s="352">
        <f>'6.Cons Profit &amp; Loss'!E40</f>
        <v>207103.65908528195</v>
      </c>
      <c r="G28" s="352">
        <f>'6.Cons Profit &amp; Loss'!F40</f>
        <v>494256.66907657584</v>
      </c>
      <c r="H28" s="352">
        <f>'6.Cons Profit &amp; Loss'!G40</f>
        <v>770441.16724382201</v>
      </c>
      <c r="I28" s="352">
        <f>'6.Cons Profit &amp; Loss'!H40</f>
        <v>1013028.8637377671</v>
      </c>
    </row>
    <row r="29" spans="1:9" ht="19.5" customHeight="1">
      <c r="A29" s="351">
        <v>5</v>
      </c>
      <c r="B29" s="351" t="s">
        <v>723</v>
      </c>
      <c r="C29" s="352">
        <f>+'7.Balance Sheet'!B9+'7.Balance Sheet'!B10</f>
        <v>9734237.7241378706</v>
      </c>
      <c r="D29" s="352">
        <f>+'7.Balance Sheet'!C9+'7.Balance Sheet'!C10-'7.Balance Sheet'!B10-'7.Balance Sheet'!B9</f>
        <v>1310440.2509630602</v>
      </c>
      <c r="E29" s="352">
        <f>+'7.Balance Sheet'!D9+'7.Balance Sheet'!D10-'7.Balance Sheet'!C10-'7.Balance Sheet'!C9</f>
        <v>1238375.1582601042</v>
      </c>
      <c r="F29" s="352">
        <f>+'7.Balance Sheet'!E9+'7.Balance Sheet'!E10-'7.Balance Sheet'!D10-'7.Balance Sheet'!D9</f>
        <v>1277648.3198098736</v>
      </c>
      <c r="G29" s="352">
        <f>+'7.Balance Sheet'!F9+'7.Balance Sheet'!F10-'7.Balance Sheet'!E10-'7.Balance Sheet'!E9</f>
        <v>1316921.4813596457</v>
      </c>
      <c r="H29" s="352">
        <f>+'7.Balance Sheet'!G9+'7.Balance Sheet'!G10-'7.Balance Sheet'!F10-'7.Balance Sheet'!F9</f>
        <v>1350769.9853751734</v>
      </c>
      <c r="I29" s="352">
        <f>+'7.Balance Sheet'!H9+'7.Balance Sheet'!H10-'7.Balance Sheet'!G10-'7.Balance Sheet'!G9</f>
        <v>1389845.8866509665</v>
      </c>
    </row>
    <row r="30" spans="1:9" ht="27" customHeight="1">
      <c r="A30" s="351"/>
      <c r="B30" s="351" t="s">
        <v>423</v>
      </c>
      <c r="C30" s="354">
        <f t="shared" ref="C30:I30" si="2">SUM(C16:C29)</f>
        <v>242983624.17301071</v>
      </c>
      <c r="D30" s="354">
        <f t="shared" si="2"/>
        <v>229240429.60704342</v>
      </c>
      <c r="E30" s="354">
        <f t="shared" si="2"/>
        <v>254371467.96583265</v>
      </c>
      <c r="F30" s="354">
        <f t="shared" si="2"/>
        <v>280610565.22707123</v>
      </c>
      <c r="G30" s="354">
        <f t="shared" si="2"/>
        <v>307728484.44236946</v>
      </c>
      <c r="H30" s="354">
        <f t="shared" si="2"/>
        <v>335628882.72990012</v>
      </c>
      <c r="I30" s="354">
        <f t="shared" si="2"/>
        <v>363396553.78320903</v>
      </c>
    </row>
    <row r="31" spans="1:9" ht="32.25" customHeight="1">
      <c r="A31" s="351"/>
      <c r="B31" s="351" t="s">
        <v>424</v>
      </c>
      <c r="C31" s="354">
        <f t="shared" ref="C31:I31" si="3">C13-C30</f>
        <v>1649411.0846521556</v>
      </c>
      <c r="D31" s="354">
        <f t="shared" si="3"/>
        <v>645679.1648183167</v>
      </c>
      <c r="E31" s="354">
        <f t="shared" si="3"/>
        <v>1179434.9441057742</v>
      </c>
      <c r="F31" s="354">
        <f t="shared" si="3"/>
        <v>1496757.1040086746</v>
      </c>
      <c r="G31" s="354">
        <f t="shared" si="3"/>
        <v>1751889.4938454628</v>
      </c>
      <c r="H31" s="354">
        <f t="shared" si="3"/>
        <v>1909001.2282048464</v>
      </c>
      <c r="I31" s="354">
        <f t="shared" si="3"/>
        <v>3010498.6135410666</v>
      </c>
    </row>
    <row r="32" spans="1:9" ht="32.25" customHeight="1">
      <c r="A32" s="361"/>
      <c r="B32" s="357" t="s">
        <v>425</v>
      </c>
      <c r="C32" s="357"/>
      <c r="D32" s="352">
        <f t="shared" ref="D32:I32" si="4">C33</f>
        <v>1649411.0846521556</v>
      </c>
      <c r="E32" s="352">
        <f t="shared" si="4"/>
        <v>2295090.2494704723</v>
      </c>
      <c r="F32" s="352">
        <f t="shared" si="4"/>
        <v>3474525.1935762465</v>
      </c>
      <c r="G32" s="352">
        <f t="shared" si="4"/>
        <v>4971282.2975849211</v>
      </c>
      <c r="H32" s="352">
        <f t="shared" si="4"/>
        <v>6723171.7914303839</v>
      </c>
      <c r="I32" s="352">
        <f t="shared" si="4"/>
        <v>8632173.0196352303</v>
      </c>
    </row>
    <row r="33" spans="1:9" ht="40.5" customHeight="1">
      <c r="A33" s="351"/>
      <c r="B33" s="363" t="s">
        <v>426</v>
      </c>
      <c r="C33" s="354">
        <f t="shared" ref="C33:I33" si="5">C31+C32</f>
        <v>1649411.0846521556</v>
      </c>
      <c r="D33" s="354">
        <f t="shared" si="5"/>
        <v>2295090.2494704723</v>
      </c>
      <c r="E33" s="354">
        <f t="shared" si="5"/>
        <v>3474525.1935762465</v>
      </c>
      <c r="F33" s="354">
        <f t="shared" si="5"/>
        <v>4971282.2975849211</v>
      </c>
      <c r="G33" s="354">
        <f t="shared" si="5"/>
        <v>6723171.7914303839</v>
      </c>
      <c r="H33" s="354">
        <f t="shared" si="5"/>
        <v>8632173.0196352303</v>
      </c>
      <c r="I33" s="354">
        <f t="shared" si="5"/>
        <v>11642671.633176297</v>
      </c>
    </row>
    <row r="34" spans="1:9" ht="16.5" customHeight="1">
      <c r="A34" s="347"/>
      <c r="B34" s="347"/>
      <c r="C34" s="364">
        <f>+C33+C25</f>
        <v>2076671.9931155033</v>
      </c>
      <c r="D34" s="347"/>
      <c r="E34" s="347"/>
      <c r="F34" s="347"/>
      <c r="G34" s="347"/>
      <c r="H34" s="347"/>
      <c r="I34" s="347"/>
    </row>
    <row r="35" spans="1:9" ht="15.75" customHeight="1">
      <c r="A35" s="347"/>
      <c r="B35" s="347"/>
      <c r="C35" s="364"/>
      <c r="D35" s="347"/>
      <c r="E35" s="347"/>
      <c r="F35" s="347"/>
      <c r="G35" s="347"/>
      <c r="H35" s="347"/>
      <c r="I35" s="347"/>
    </row>
    <row r="36" spans="1:9" ht="66" customHeight="1">
      <c r="A36" s="365" t="s">
        <v>427</v>
      </c>
      <c r="B36" s="365"/>
      <c r="C36" s="365"/>
      <c r="D36" s="365"/>
      <c r="E36" s="365"/>
      <c r="F36" s="365"/>
      <c r="G36" s="365"/>
      <c r="H36" s="365"/>
      <c r="I36" s="365"/>
    </row>
    <row r="37" spans="1:9" ht="33.75" customHeight="1">
      <c r="A37" s="209"/>
      <c r="B37" s="209"/>
      <c r="C37" s="209"/>
      <c r="D37" s="209"/>
      <c r="E37" s="209"/>
      <c r="F37" s="209"/>
      <c r="G37" s="209"/>
      <c r="H37" s="209"/>
      <c r="I37" s="209"/>
    </row>
    <row r="38" spans="1:9" ht="15.75" customHeight="1">
      <c r="C38" s="132">
        <f t="shared" ref="C38:I38" si="6">+C6-C22-C23-C26-C27-C28</f>
        <v>2076671.9931155008</v>
      </c>
      <c r="D38" s="132">
        <f t="shared" si="6"/>
        <v>2355739.9827075242</v>
      </c>
      <c r="E38" s="132">
        <f t="shared" si="6"/>
        <v>3007521.714670511</v>
      </c>
      <c r="F38" s="132">
        <f t="shared" si="6"/>
        <v>3496989.73350811</v>
      </c>
      <c r="G38" s="132">
        <f t="shared" si="6"/>
        <v>3944520.2118819952</v>
      </c>
      <c r="H38" s="132">
        <f t="shared" si="6"/>
        <v>4311850.8251183722</v>
      </c>
      <c r="I38" s="132">
        <f t="shared" si="6"/>
        <v>4727092.2833764385</v>
      </c>
    </row>
    <row r="39" spans="1:9" ht="15.75" customHeight="1">
      <c r="C39" s="132">
        <f>+'6.Cons Profit &amp; Loss'!B41</f>
        <v>232087.31711550051</v>
      </c>
      <c r="D39" s="132">
        <f>+'6.Cons Profit &amp; Loss'!C41</f>
        <v>511155.30670752423</v>
      </c>
      <c r="E39" s="132">
        <f>+'6.Cons Profit &amp; Loss'!D41</f>
        <v>1162937.038670511</v>
      </c>
      <c r="F39" s="132">
        <f>+'6.Cons Profit &amp; Loss'!E41</f>
        <v>1652405.0575081103</v>
      </c>
      <c r="G39" s="132">
        <f>+'6.Cons Profit &amp; Loss'!F41</f>
        <v>2099935.5358819845</v>
      </c>
      <c r="H39" s="132">
        <f>+'6.Cons Profit &amp; Loss'!G41</f>
        <v>2567266.1491183876</v>
      </c>
      <c r="I39" s="132">
        <f>+'6.Cons Profit &amp; Loss'!H41</f>
        <v>2982507.6073764125</v>
      </c>
    </row>
    <row r="40" spans="1:9" ht="15.75" customHeight="1">
      <c r="C40" s="132">
        <f>+C38-'6.Cons Profit &amp; Loss'!B32-'6.Cons Profit &amp; Loss'!B33</f>
        <v>232087.3171155008</v>
      </c>
      <c r="D40" s="132">
        <f>+D38-'6.Cons Profit &amp; Loss'!C32-'6.Cons Profit &amp; Loss'!C33</f>
        <v>511155.30670752423</v>
      </c>
      <c r="E40" s="132">
        <f>+E38-'6.Cons Profit &amp; Loss'!D32-'6.Cons Profit &amp; Loss'!D33</f>
        <v>1162937.038670511</v>
      </c>
      <c r="F40" s="132">
        <f>+F38-'6.Cons Profit &amp; Loss'!E32-'6.Cons Profit &amp; Loss'!E33</f>
        <v>1652405.0575081101</v>
      </c>
      <c r="G40" s="132">
        <f>+G38-'6.Cons Profit &amp; Loss'!F32-'6.Cons Profit &amp; Loss'!F33</f>
        <v>2099935.5358819952</v>
      </c>
      <c r="H40" s="132">
        <f>+H38-'6.Cons Profit &amp; Loss'!G32-'6.Cons Profit &amp; Loss'!G33</f>
        <v>2567266.1491183722</v>
      </c>
      <c r="I40" s="132">
        <f>+I38-'6.Cons Profit &amp; Loss'!H32-'6.Cons Profit &amp; Loss'!H33</f>
        <v>2982507.6073764386</v>
      </c>
    </row>
    <row r="41" spans="1:9" ht="15.75" customHeight="1">
      <c r="C41" s="132"/>
    </row>
    <row r="42" spans="1:9" ht="15.75" customHeight="1">
      <c r="C42" s="132"/>
    </row>
    <row r="43" spans="1:9" ht="15.75" customHeight="1"/>
    <row r="44" spans="1:9" ht="15.75" customHeight="1"/>
    <row r="45" spans="1:9" ht="15.75" customHeight="1"/>
    <row r="46" spans="1:9" ht="15.75" customHeight="1"/>
    <row r="47" spans="1:9" ht="15.75" customHeight="1"/>
    <row r="48" spans="1:9"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sheetData>
  <mergeCells count="4">
    <mergeCell ref="A1:G1"/>
    <mergeCell ref="A14:B14"/>
    <mergeCell ref="A2:I2"/>
    <mergeCell ref="A36:I36"/>
  </mergeCells>
  <pageMargins left="0.7" right="0.7" top="0.75" bottom="0.75" header="0" footer="0"/>
  <pageSetup scale="5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65"/>
  <sheetViews>
    <sheetView view="pageBreakPreview" topLeftCell="A3" zoomScale="60" workbookViewId="0">
      <selection sqref="A1:H1"/>
    </sheetView>
  </sheetViews>
  <sheetFormatPr defaultColWidth="14.42578125" defaultRowHeight="15" customHeight="1"/>
  <cols>
    <col min="1" max="1" width="49.140625" customWidth="1"/>
    <col min="2" max="2" width="23.28515625" customWidth="1"/>
    <col min="3" max="3" width="11.5703125" customWidth="1"/>
    <col min="4" max="4" width="18.85546875" customWidth="1"/>
    <col min="5" max="5" width="15.140625" customWidth="1"/>
    <col min="6" max="7" width="15.85546875" customWidth="1"/>
    <col min="8" max="8" width="21.28515625" customWidth="1"/>
    <col min="9" max="9" width="11.42578125" customWidth="1"/>
    <col min="10" max="10" width="9.140625" customWidth="1"/>
    <col min="11" max="26" width="8.7109375" customWidth="1"/>
  </cols>
  <sheetData>
    <row r="1" spans="1:26" ht="18.75">
      <c r="A1" s="267" t="s">
        <v>492</v>
      </c>
      <c r="B1" s="251"/>
      <c r="C1" s="251"/>
      <c r="D1" s="251"/>
      <c r="E1" s="251"/>
      <c r="F1" s="251"/>
      <c r="G1" s="251"/>
      <c r="H1" s="251"/>
    </row>
    <row r="2" spans="1:26">
      <c r="B2" s="131"/>
    </row>
    <row r="3" spans="1:26" ht="18.75">
      <c r="A3" s="302" t="s">
        <v>493</v>
      </c>
      <c r="B3" s="253"/>
    </row>
    <row r="4" spans="1:26">
      <c r="A4" s="146" t="s">
        <v>150</v>
      </c>
      <c r="B4" s="147" t="s">
        <v>161</v>
      </c>
      <c r="C4" s="148"/>
      <c r="D4" s="148"/>
      <c r="E4" s="148"/>
      <c r="F4" s="148"/>
      <c r="G4" s="148"/>
      <c r="H4" s="148"/>
    </row>
    <row r="5" spans="1:26">
      <c r="A5" s="115" t="s">
        <v>494</v>
      </c>
      <c r="B5" s="115">
        <v>283</v>
      </c>
      <c r="D5" s="150"/>
      <c r="E5" s="150"/>
      <c r="F5" s="150"/>
      <c r="G5" s="150"/>
      <c r="H5" s="150"/>
    </row>
    <row r="6" spans="1:26">
      <c r="A6" s="115" t="s">
        <v>495</v>
      </c>
      <c r="B6" s="115">
        <v>4000</v>
      </c>
      <c r="D6" s="150"/>
      <c r="E6" s="150"/>
      <c r="F6" s="150"/>
      <c r="G6" s="150"/>
      <c r="H6" s="150"/>
    </row>
    <row r="7" spans="1:26">
      <c r="A7" s="151" t="s">
        <v>88</v>
      </c>
      <c r="B7" s="151">
        <f>B5+B6</f>
        <v>4283</v>
      </c>
      <c r="C7" s="135"/>
      <c r="D7" s="152"/>
      <c r="E7" s="152"/>
      <c r="F7" s="152"/>
      <c r="G7" s="152"/>
      <c r="H7" s="152"/>
    </row>
    <row r="8" spans="1:26">
      <c r="A8" s="151" t="s">
        <v>496</v>
      </c>
      <c r="B8" s="151">
        <v>2</v>
      </c>
      <c r="C8" s="135"/>
      <c r="D8" s="135"/>
      <c r="E8" s="135"/>
      <c r="F8" s="135"/>
      <c r="G8" s="135"/>
      <c r="H8" s="135"/>
    </row>
    <row r="9" spans="1:26">
      <c r="A9" s="151" t="s">
        <v>497</v>
      </c>
      <c r="B9" s="151">
        <f>B7*B8</f>
        <v>8566</v>
      </c>
      <c r="C9" s="152"/>
      <c r="D9" s="152"/>
      <c r="E9" s="152"/>
      <c r="F9" s="152"/>
      <c r="G9" s="152"/>
      <c r="H9" s="152"/>
    </row>
    <row r="10" spans="1:26">
      <c r="J10" t="s">
        <v>498</v>
      </c>
      <c r="O10" t="s">
        <v>322</v>
      </c>
      <c r="U10" t="s">
        <v>16</v>
      </c>
      <c r="Y10" t="s">
        <v>499</v>
      </c>
      <c r="Z10" t="s">
        <v>500</v>
      </c>
    </row>
    <row r="11" spans="1:26" ht="18.75">
      <c r="A11" s="267" t="s">
        <v>501</v>
      </c>
      <c r="B11" s="251"/>
      <c r="C11" s="251"/>
      <c r="D11" s="251"/>
      <c r="E11" s="251"/>
      <c r="F11" s="251"/>
      <c r="G11" s="251"/>
      <c r="H11" s="251"/>
      <c r="I11" s="135"/>
      <c r="J11" s="135"/>
      <c r="K11" s="135"/>
      <c r="L11" s="135"/>
      <c r="M11" s="135"/>
      <c r="N11" s="135"/>
      <c r="O11" s="135"/>
      <c r="P11" s="135"/>
    </row>
    <row r="12" spans="1:26">
      <c r="J12" s="131">
        <v>0.65</v>
      </c>
      <c r="K12" s="154">
        <f t="shared" ref="K12:N12" si="0">J12+0.05</f>
        <v>0.70000000000000007</v>
      </c>
      <c r="L12" s="154">
        <f t="shared" si="0"/>
        <v>0.75000000000000011</v>
      </c>
      <c r="M12" s="154">
        <f t="shared" si="0"/>
        <v>0.80000000000000016</v>
      </c>
      <c r="N12" s="154">
        <f t="shared" si="0"/>
        <v>0.8500000000000002</v>
      </c>
      <c r="O12" s="131">
        <v>0.4</v>
      </c>
      <c r="P12" s="131">
        <f t="shared" ref="P12:T12" si="1">O12+0.05</f>
        <v>0.45</v>
      </c>
      <c r="Q12" s="131">
        <f t="shared" si="1"/>
        <v>0.5</v>
      </c>
      <c r="R12" s="131">
        <f t="shared" si="1"/>
        <v>0.55000000000000004</v>
      </c>
      <c r="S12" s="131">
        <f t="shared" si="1"/>
        <v>0.60000000000000009</v>
      </c>
      <c r="T12" s="131">
        <f t="shared" si="1"/>
        <v>0.65000000000000013</v>
      </c>
      <c r="U12" s="131">
        <v>0.1</v>
      </c>
      <c r="V12" s="140">
        <f t="shared" ref="V12:X12" si="2">U12+0.05</f>
        <v>0.15000000000000002</v>
      </c>
      <c r="W12" s="140">
        <f t="shared" si="2"/>
        <v>0.2</v>
      </c>
      <c r="X12" s="140">
        <f t="shared" si="2"/>
        <v>0.25</v>
      </c>
    </row>
    <row r="13" spans="1:26" ht="45">
      <c r="A13" s="146" t="s">
        <v>502</v>
      </c>
      <c r="B13" s="146" t="s">
        <v>503</v>
      </c>
      <c r="C13" s="155" t="s">
        <v>504</v>
      </c>
      <c r="D13" s="155" t="s">
        <v>505</v>
      </c>
      <c r="E13" s="155" t="s">
        <v>506</v>
      </c>
      <c r="F13" s="155" t="s">
        <v>507</v>
      </c>
      <c r="G13" s="155" t="s">
        <v>508</v>
      </c>
      <c r="H13" s="155" t="s">
        <v>509</v>
      </c>
      <c r="I13" s="189" t="s">
        <v>721</v>
      </c>
      <c r="O13" s="156" t="s">
        <v>153</v>
      </c>
      <c r="P13" s="156" t="s">
        <v>154</v>
      </c>
      <c r="Q13" s="156" t="s">
        <v>155</v>
      </c>
      <c r="R13" s="156" t="s">
        <v>156</v>
      </c>
      <c r="S13" s="156" t="s">
        <v>157</v>
      </c>
      <c r="T13" s="156" t="s">
        <v>153</v>
      </c>
      <c r="U13" s="156" t="s">
        <v>154</v>
      </c>
      <c r="V13" s="156" t="s">
        <v>155</v>
      </c>
      <c r="W13" s="156" t="s">
        <v>156</v>
      </c>
      <c r="X13" s="156" t="s">
        <v>157</v>
      </c>
    </row>
    <row r="14" spans="1:26">
      <c r="A14" s="306" t="s">
        <v>510</v>
      </c>
      <c r="B14" s="115" t="s">
        <v>511</v>
      </c>
      <c r="C14" s="169">
        <v>0.5</v>
      </c>
      <c r="D14" s="115">
        <f t="shared" ref="D14:D22" si="3">$B$9*C14</f>
        <v>4283</v>
      </c>
      <c r="E14" s="115">
        <v>10</v>
      </c>
      <c r="F14" s="115">
        <f t="shared" ref="F14:F22" si="4">D14*E14</f>
        <v>42830</v>
      </c>
      <c r="G14" s="169">
        <v>0.1</v>
      </c>
      <c r="H14" s="115">
        <f t="shared" ref="H14:H22" si="5">(F14-F14*G14)</f>
        <v>38547</v>
      </c>
      <c r="I14">
        <f>+E14*2.5</f>
        <v>25</v>
      </c>
      <c r="J14">
        <f t="shared" ref="J14:N14" si="6">$D$14*J12</f>
        <v>2783.9500000000003</v>
      </c>
      <c r="K14">
        <f t="shared" si="6"/>
        <v>2998.1000000000004</v>
      </c>
      <c r="L14">
        <f t="shared" si="6"/>
        <v>3212.2500000000005</v>
      </c>
      <c r="M14">
        <f t="shared" si="6"/>
        <v>3426.4000000000005</v>
      </c>
      <c r="N14">
        <f t="shared" si="6"/>
        <v>3640.5500000000006</v>
      </c>
    </row>
    <row r="15" spans="1:26">
      <c r="A15" s="307"/>
      <c r="B15" s="115" t="s">
        <v>512</v>
      </c>
      <c r="C15" s="169">
        <v>0.15</v>
      </c>
      <c r="D15" s="115">
        <f t="shared" si="3"/>
        <v>1284.8999999999999</v>
      </c>
      <c r="E15" s="115">
        <v>8</v>
      </c>
      <c r="F15" s="115">
        <f t="shared" si="4"/>
        <v>10279.199999999999</v>
      </c>
      <c r="G15" s="169">
        <v>0.05</v>
      </c>
      <c r="H15" s="115">
        <f t="shared" si="5"/>
        <v>9765.24</v>
      </c>
      <c r="I15">
        <f>+E15*2.5</f>
        <v>20</v>
      </c>
    </row>
    <row r="16" spans="1:26" ht="15" hidden="1" customHeight="1">
      <c r="A16" s="307"/>
      <c r="B16" s="115" t="s">
        <v>513</v>
      </c>
      <c r="C16" s="169">
        <v>0</v>
      </c>
      <c r="D16" s="115">
        <f t="shared" si="3"/>
        <v>0</v>
      </c>
      <c r="E16" s="115">
        <v>4</v>
      </c>
      <c r="F16" s="115">
        <f t="shared" si="4"/>
        <v>0</v>
      </c>
      <c r="G16" s="169">
        <v>0</v>
      </c>
      <c r="H16" s="115">
        <f t="shared" si="5"/>
        <v>0</v>
      </c>
    </row>
    <row r="17" spans="1:9">
      <c r="A17" s="307"/>
      <c r="B17" s="115" t="s">
        <v>514</v>
      </c>
      <c r="C17" s="169">
        <v>0.15</v>
      </c>
      <c r="D17" s="115">
        <f t="shared" si="3"/>
        <v>1284.8999999999999</v>
      </c>
      <c r="E17" s="115">
        <v>5</v>
      </c>
      <c r="F17" s="115">
        <f t="shared" si="4"/>
        <v>6424.4999999999991</v>
      </c>
      <c r="G17" s="169">
        <v>0.02</v>
      </c>
      <c r="H17" s="115">
        <f t="shared" si="5"/>
        <v>6296.0099999999993</v>
      </c>
      <c r="I17">
        <f>+E17*2.5</f>
        <v>12.5</v>
      </c>
    </row>
    <row r="18" spans="1:9" ht="15" hidden="1" customHeight="1">
      <c r="A18" s="307"/>
      <c r="B18" s="115" t="s">
        <v>515</v>
      </c>
      <c r="C18" s="169">
        <v>0</v>
      </c>
      <c r="D18" s="115">
        <f t="shared" si="3"/>
        <v>0</v>
      </c>
      <c r="E18" s="115">
        <v>20</v>
      </c>
      <c r="F18" s="115">
        <f t="shared" si="4"/>
        <v>0</v>
      </c>
      <c r="G18" s="169">
        <v>0</v>
      </c>
      <c r="H18" s="115">
        <f t="shared" si="5"/>
        <v>0</v>
      </c>
    </row>
    <row r="19" spans="1:9">
      <c r="A19" s="308"/>
      <c r="B19" s="115" t="s">
        <v>516</v>
      </c>
      <c r="C19" s="169">
        <v>0.1</v>
      </c>
      <c r="D19" s="115">
        <f t="shared" si="3"/>
        <v>856.6</v>
      </c>
      <c r="E19" s="115">
        <v>5</v>
      </c>
      <c r="F19" s="115">
        <f t="shared" si="4"/>
        <v>4283</v>
      </c>
      <c r="G19" s="169">
        <v>0.1</v>
      </c>
      <c r="H19" s="115">
        <f t="shared" si="5"/>
        <v>3854.7</v>
      </c>
      <c r="I19">
        <f>+E19*2.5</f>
        <v>12.5</v>
      </c>
    </row>
    <row r="20" spans="1:9" hidden="1">
      <c r="A20" s="239"/>
      <c r="B20" s="115" t="s">
        <v>517</v>
      </c>
      <c r="C20" s="169">
        <v>0</v>
      </c>
      <c r="D20" s="115">
        <f t="shared" si="3"/>
        <v>0</v>
      </c>
      <c r="E20" s="115">
        <v>6</v>
      </c>
      <c r="F20" s="115">
        <f t="shared" si="4"/>
        <v>0</v>
      </c>
      <c r="G20" s="169">
        <v>0.02</v>
      </c>
      <c r="H20" s="115">
        <f t="shared" si="5"/>
        <v>0</v>
      </c>
    </row>
    <row r="21" spans="1:9" ht="15.75" hidden="1" customHeight="1">
      <c r="A21" s="239"/>
      <c r="B21" s="115" t="s">
        <v>518</v>
      </c>
      <c r="C21" s="169">
        <v>0</v>
      </c>
      <c r="D21" s="115">
        <f t="shared" si="3"/>
        <v>0</v>
      </c>
      <c r="E21" s="115"/>
      <c r="F21" s="115">
        <f t="shared" si="4"/>
        <v>0</v>
      </c>
      <c r="G21" s="169">
        <v>0</v>
      </c>
      <c r="H21" s="115">
        <f t="shared" si="5"/>
        <v>0</v>
      </c>
    </row>
    <row r="22" spans="1:9" ht="15.75" hidden="1" customHeight="1">
      <c r="A22" s="240"/>
      <c r="B22" s="115" t="s">
        <v>519</v>
      </c>
      <c r="C22" s="169">
        <v>0</v>
      </c>
      <c r="D22" s="115">
        <f t="shared" si="3"/>
        <v>0</v>
      </c>
      <c r="E22" s="115"/>
      <c r="F22" s="115">
        <f t="shared" si="4"/>
        <v>0</v>
      </c>
      <c r="G22" s="169">
        <v>0</v>
      </c>
      <c r="H22" s="115">
        <f t="shared" si="5"/>
        <v>0</v>
      </c>
    </row>
    <row r="23" spans="1:9" ht="15.75" customHeight="1">
      <c r="A23" s="241" t="s">
        <v>520</v>
      </c>
      <c r="B23" s="169">
        <v>0.3</v>
      </c>
      <c r="C23" s="115">
        <f>B9*B23</f>
        <v>2569.7999999999997</v>
      </c>
      <c r="D23" s="115"/>
      <c r="E23" s="115"/>
      <c r="F23" s="115"/>
      <c r="G23" s="169"/>
      <c r="H23" s="115"/>
    </row>
    <row r="24" spans="1:9" ht="15.75" customHeight="1">
      <c r="A24" s="309" t="s">
        <v>521</v>
      </c>
      <c r="B24" s="115" t="s">
        <v>522</v>
      </c>
      <c r="C24" s="169">
        <v>0.1</v>
      </c>
      <c r="D24" s="115">
        <f t="shared" ref="D24:D31" si="7">C$23*C24</f>
        <v>256.97999999999996</v>
      </c>
      <c r="E24" s="115">
        <v>18</v>
      </c>
      <c r="F24" s="115">
        <f t="shared" ref="F24:F31" si="8">D24*E24</f>
        <v>4625.6399999999994</v>
      </c>
      <c r="G24" s="169">
        <v>0.1</v>
      </c>
      <c r="H24" s="115">
        <f t="shared" ref="H24:H31" si="9">(F24-F24*G24)</f>
        <v>4163.0759999999991</v>
      </c>
      <c r="I24">
        <f>+E24*2.5</f>
        <v>45</v>
      </c>
    </row>
    <row r="25" spans="1:9" ht="15.75" customHeight="1">
      <c r="A25" s="310"/>
      <c r="B25" s="115" t="s">
        <v>523</v>
      </c>
      <c r="C25" s="169">
        <v>0.7</v>
      </c>
      <c r="D25" s="115">
        <f t="shared" si="7"/>
        <v>1798.8599999999997</v>
      </c>
      <c r="E25" s="115">
        <v>10</v>
      </c>
      <c r="F25" s="115">
        <f t="shared" si="8"/>
        <v>17988.599999999999</v>
      </c>
      <c r="G25" s="169">
        <v>0.1</v>
      </c>
      <c r="H25" s="115">
        <f t="shared" si="9"/>
        <v>16189.739999999998</v>
      </c>
      <c r="I25">
        <f>+E25*2.5</f>
        <v>25</v>
      </c>
    </row>
    <row r="26" spans="1:9" ht="15.75" hidden="1" customHeight="1">
      <c r="A26" s="239"/>
      <c r="B26" s="115" t="s">
        <v>518</v>
      </c>
      <c r="C26" s="169">
        <v>0</v>
      </c>
      <c r="D26" s="115">
        <f t="shared" si="7"/>
        <v>0</v>
      </c>
      <c r="E26" s="115">
        <v>10</v>
      </c>
      <c r="F26" s="115">
        <f t="shared" si="8"/>
        <v>0</v>
      </c>
      <c r="G26" s="169">
        <v>0.05</v>
      </c>
      <c r="H26" s="115">
        <f t="shared" si="9"/>
        <v>0</v>
      </c>
    </row>
    <row r="27" spans="1:9" ht="15.75" hidden="1" customHeight="1">
      <c r="A27" s="239"/>
      <c r="B27" s="115" t="s">
        <v>515</v>
      </c>
      <c r="C27" s="169">
        <v>0</v>
      </c>
      <c r="D27" s="115">
        <f t="shared" si="7"/>
        <v>0</v>
      </c>
      <c r="E27" s="115">
        <v>20</v>
      </c>
      <c r="F27" s="115">
        <f t="shared" si="8"/>
        <v>0</v>
      </c>
      <c r="G27" s="169">
        <v>0</v>
      </c>
      <c r="H27" s="115">
        <f t="shared" si="9"/>
        <v>0</v>
      </c>
    </row>
    <row r="28" spans="1:9" ht="15.75" hidden="1" customHeight="1">
      <c r="A28" s="239"/>
      <c r="B28" s="115" t="s">
        <v>524</v>
      </c>
      <c r="C28" s="169">
        <v>0</v>
      </c>
      <c r="D28" s="115">
        <f t="shared" si="7"/>
        <v>0</v>
      </c>
      <c r="E28" s="115"/>
      <c r="F28" s="115">
        <f t="shared" si="8"/>
        <v>0</v>
      </c>
      <c r="G28" s="169">
        <v>0</v>
      </c>
      <c r="H28" s="115">
        <f t="shared" si="9"/>
        <v>0</v>
      </c>
    </row>
    <row r="29" spans="1:9" ht="15.75" hidden="1" customHeight="1">
      <c r="A29" s="239"/>
      <c r="B29" s="115"/>
      <c r="C29" s="169">
        <v>0</v>
      </c>
      <c r="D29" s="115">
        <f t="shared" si="7"/>
        <v>0</v>
      </c>
      <c r="E29" s="115"/>
      <c r="F29" s="115">
        <f t="shared" si="8"/>
        <v>0</v>
      </c>
      <c r="G29" s="169">
        <v>0</v>
      </c>
      <c r="H29" s="115">
        <f t="shared" si="9"/>
        <v>0</v>
      </c>
    </row>
    <row r="30" spans="1:9" ht="15.75" hidden="1" customHeight="1">
      <c r="A30" s="239"/>
      <c r="B30" s="115"/>
      <c r="C30" s="169">
        <v>0</v>
      </c>
      <c r="D30" s="115">
        <f t="shared" si="7"/>
        <v>0</v>
      </c>
      <c r="E30" s="115"/>
      <c r="F30" s="115">
        <f t="shared" si="8"/>
        <v>0</v>
      </c>
      <c r="G30" s="169">
        <v>0</v>
      </c>
      <c r="H30" s="115">
        <f t="shared" si="9"/>
        <v>0</v>
      </c>
    </row>
    <row r="31" spans="1:9" ht="15.75" hidden="1" customHeight="1">
      <c r="A31" s="240"/>
      <c r="B31" s="115"/>
      <c r="C31" s="169">
        <v>0</v>
      </c>
      <c r="D31" s="115">
        <f t="shared" si="7"/>
        <v>0</v>
      </c>
      <c r="E31" s="115"/>
      <c r="F31" s="115">
        <f t="shared" si="8"/>
        <v>0</v>
      </c>
      <c r="G31" s="169">
        <v>0</v>
      </c>
      <c r="H31" s="115">
        <f t="shared" si="9"/>
        <v>0</v>
      </c>
    </row>
    <row r="32" spans="1:9" ht="15.75" customHeight="1">
      <c r="A32" s="160" t="s">
        <v>525</v>
      </c>
      <c r="B32" s="169">
        <v>0.05</v>
      </c>
      <c r="C32" s="115">
        <f>B9*B32</f>
        <v>428.3</v>
      </c>
      <c r="D32" s="115"/>
      <c r="E32" s="115"/>
      <c r="F32" s="115"/>
      <c r="G32" s="169"/>
      <c r="H32" s="115"/>
    </row>
    <row r="33" spans="1:8" ht="15.75" hidden="1" customHeight="1">
      <c r="A33" s="161" t="s">
        <v>526</v>
      </c>
      <c r="B33" s="115" t="s">
        <v>527</v>
      </c>
      <c r="C33" s="169">
        <v>0</v>
      </c>
      <c r="D33" s="115">
        <f t="shared" ref="D33:D36" si="10">C$32*C33</f>
        <v>0</v>
      </c>
      <c r="E33" s="115"/>
      <c r="F33" s="115">
        <f t="shared" ref="F33:F36" si="11">D33*E33</f>
        <v>0</v>
      </c>
      <c r="G33" s="169">
        <v>0</v>
      </c>
      <c r="H33" s="115">
        <f t="shared" ref="H33:H36" si="12">(F33-F33*G33)</f>
        <v>0</v>
      </c>
    </row>
    <row r="34" spans="1:8" ht="15.75" hidden="1" customHeight="1">
      <c r="A34" s="8"/>
      <c r="B34" s="115"/>
      <c r="C34" s="169">
        <v>0</v>
      </c>
      <c r="D34" s="115">
        <f t="shared" si="10"/>
        <v>0</v>
      </c>
      <c r="E34" s="115"/>
      <c r="F34" s="115">
        <f t="shared" si="11"/>
        <v>0</v>
      </c>
      <c r="G34" s="169">
        <v>0</v>
      </c>
      <c r="H34" s="115">
        <f t="shared" si="12"/>
        <v>0</v>
      </c>
    </row>
    <row r="35" spans="1:8" ht="15.75" hidden="1" customHeight="1">
      <c r="A35" s="8"/>
      <c r="B35" s="115"/>
      <c r="C35" s="169">
        <v>0</v>
      </c>
      <c r="D35" s="115">
        <f t="shared" si="10"/>
        <v>0</v>
      </c>
      <c r="E35" s="115"/>
      <c r="F35" s="115">
        <f t="shared" si="11"/>
        <v>0</v>
      </c>
      <c r="G35" s="169">
        <v>0</v>
      </c>
      <c r="H35" s="115">
        <f t="shared" si="12"/>
        <v>0</v>
      </c>
    </row>
    <row r="36" spans="1:8" ht="15.75" hidden="1" customHeight="1">
      <c r="A36" s="162"/>
      <c r="B36" s="115"/>
      <c r="C36" s="169">
        <v>0</v>
      </c>
      <c r="D36" s="115">
        <f t="shared" si="10"/>
        <v>0</v>
      </c>
      <c r="E36" s="115"/>
      <c r="F36" s="115">
        <f t="shared" si="11"/>
        <v>0</v>
      </c>
      <c r="G36" s="169">
        <v>0</v>
      </c>
      <c r="H36" s="115">
        <f t="shared" si="12"/>
        <v>0</v>
      </c>
    </row>
    <row r="37" spans="1:8" ht="15.75" customHeight="1">
      <c r="A37" s="303" t="s">
        <v>528</v>
      </c>
      <c r="B37" s="251"/>
      <c r="C37" s="251"/>
      <c r="D37" s="251"/>
      <c r="E37" s="251"/>
      <c r="F37" s="251"/>
      <c r="G37" s="251"/>
      <c r="H37" s="251"/>
    </row>
    <row r="38" spans="1:8" ht="15.75" customHeight="1"/>
    <row r="39" spans="1:8" ht="15.75" customHeight="1">
      <c r="A39" s="304" t="s">
        <v>529</v>
      </c>
      <c r="B39" s="255"/>
      <c r="C39" s="255"/>
      <c r="D39" s="255"/>
      <c r="E39" s="255"/>
      <c r="F39" s="255"/>
      <c r="G39" s="255"/>
      <c r="H39" s="256"/>
    </row>
    <row r="40" spans="1:8" ht="15.75" customHeight="1">
      <c r="A40" s="298" t="s">
        <v>150</v>
      </c>
      <c r="B40" s="242">
        <v>0.5</v>
      </c>
      <c r="C40" s="242">
        <f t="shared" ref="C40:H40" si="13">B40+0.05</f>
        <v>0.55000000000000004</v>
      </c>
      <c r="D40" s="242">
        <f t="shared" si="13"/>
        <v>0.60000000000000009</v>
      </c>
      <c r="E40" s="242">
        <f t="shared" si="13"/>
        <v>0.65000000000000013</v>
      </c>
      <c r="F40" s="242">
        <f t="shared" si="13"/>
        <v>0.70000000000000018</v>
      </c>
      <c r="G40" s="242">
        <f t="shared" si="13"/>
        <v>0.75000000000000022</v>
      </c>
      <c r="H40" s="242">
        <f t="shared" si="13"/>
        <v>0.80000000000000027</v>
      </c>
    </row>
    <row r="41" spans="1:8" ht="15.75" customHeight="1">
      <c r="A41" s="261"/>
      <c r="B41" s="147" t="s">
        <v>153</v>
      </c>
      <c r="C41" s="147" t="s">
        <v>154</v>
      </c>
      <c r="D41" s="147" t="s">
        <v>155</v>
      </c>
      <c r="E41" s="147" t="s">
        <v>156</v>
      </c>
      <c r="F41" s="147" t="s">
        <v>157</v>
      </c>
      <c r="G41" s="147" t="s">
        <v>158</v>
      </c>
      <c r="H41" s="147" t="s">
        <v>159</v>
      </c>
    </row>
    <row r="42" spans="1:8" ht="15.75" customHeight="1">
      <c r="A42" s="115" t="str">
        <f t="shared" ref="A42:A50" si="14">B14</f>
        <v>Soybean</v>
      </c>
      <c r="B42" s="115">
        <f t="shared" ref="B42:B50" si="15">H14*$B$40</f>
        <v>19273.5</v>
      </c>
      <c r="C42" s="115">
        <f t="shared" ref="C42:H42" si="16">(B42/B$40)*C$40</f>
        <v>21200.850000000002</v>
      </c>
      <c r="D42" s="115">
        <f t="shared" si="16"/>
        <v>23128.200000000004</v>
      </c>
      <c r="E42" s="115">
        <f t="shared" si="16"/>
        <v>25055.550000000007</v>
      </c>
      <c r="F42" s="115">
        <f t="shared" si="16"/>
        <v>26982.900000000005</v>
      </c>
      <c r="G42" s="115">
        <f t="shared" si="16"/>
        <v>28910.250000000007</v>
      </c>
      <c r="H42" s="115">
        <f t="shared" si="16"/>
        <v>30837.600000000009</v>
      </c>
    </row>
    <row r="43" spans="1:8" ht="15.75" customHeight="1">
      <c r="A43" s="115" t="str">
        <f t="shared" si="14"/>
        <v>Red Gram/Tur</v>
      </c>
      <c r="B43" s="115">
        <f t="shared" si="15"/>
        <v>4882.62</v>
      </c>
      <c r="C43" s="115">
        <f t="shared" ref="C43:H43" si="17">(B43/B$40)*C$40</f>
        <v>5370.8820000000005</v>
      </c>
      <c r="D43" s="115">
        <f t="shared" si="17"/>
        <v>5859.1440000000011</v>
      </c>
      <c r="E43" s="115">
        <f t="shared" si="17"/>
        <v>6347.4060000000009</v>
      </c>
      <c r="F43" s="115">
        <f t="shared" si="17"/>
        <v>6835.6680000000015</v>
      </c>
      <c r="G43" s="115">
        <f t="shared" si="17"/>
        <v>7323.9300000000021</v>
      </c>
      <c r="H43" s="115">
        <f t="shared" si="17"/>
        <v>7812.1920000000027</v>
      </c>
    </row>
    <row r="44" spans="1:8" ht="15.75" hidden="1" customHeight="1">
      <c r="A44" s="115" t="str">
        <f t="shared" si="14"/>
        <v>Paddy/Rice</v>
      </c>
      <c r="B44" s="115">
        <f t="shared" si="15"/>
        <v>0</v>
      </c>
      <c r="C44" s="115">
        <f t="shared" ref="C44:H44" si="18">(B44/B$40)*C$40</f>
        <v>0</v>
      </c>
      <c r="D44" s="115">
        <f t="shared" si="18"/>
        <v>0</v>
      </c>
      <c r="E44" s="115">
        <f t="shared" si="18"/>
        <v>0</v>
      </c>
      <c r="F44" s="115">
        <f t="shared" si="18"/>
        <v>0</v>
      </c>
      <c r="G44" s="115">
        <f t="shared" si="18"/>
        <v>0</v>
      </c>
      <c r="H44" s="115">
        <f t="shared" si="18"/>
        <v>0</v>
      </c>
    </row>
    <row r="45" spans="1:8" ht="15.75" customHeight="1">
      <c r="A45" s="115" t="str">
        <f t="shared" si="14"/>
        <v>Green Gram/ Moong</v>
      </c>
      <c r="B45" s="115">
        <f t="shared" si="15"/>
        <v>3148.0049999999997</v>
      </c>
      <c r="C45" s="115">
        <f t="shared" ref="C45:H45" si="19">(B45/B$40)*C$40</f>
        <v>3462.8054999999999</v>
      </c>
      <c r="D45" s="115">
        <f t="shared" si="19"/>
        <v>3777.6060000000002</v>
      </c>
      <c r="E45" s="115">
        <f t="shared" si="19"/>
        <v>4092.4065000000005</v>
      </c>
      <c r="F45" s="115">
        <f t="shared" si="19"/>
        <v>4407.2070000000003</v>
      </c>
      <c r="G45" s="115">
        <f t="shared" si="19"/>
        <v>4722.0075000000006</v>
      </c>
      <c r="H45" s="115">
        <f t="shared" si="19"/>
        <v>5036.8080000000009</v>
      </c>
    </row>
    <row r="46" spans="1:8" ht="15.75" hidden="1" customHeight="1">
      <c r="A46" s="115" t="str">
        <f t="shared" si="14"/>
        <v>Maize</v>
      </c>
      <c r="B46" s="115">
        <f t="shared" si="15"/>
        <v>0</v>
      </c>
      <c r="C46" s="115">
        <f t="shared" ref="C46:H46" si="20">(B46/B$40)*C$40</f>
        <v>0</v>
      </c>
      <c r="D46" s="115">
        <f t="shared" si="20"/>
        <v>0</v>
      </c>
      <c r="E46" s="115">
        <f t="shared" si="20"/>
        <v>0</v>
      </c>
      <c r="F46" s="115">
        <f t="shared" si="20"/>
        <v>0</v>
      </c>
      <c r="G46" s="115">
        <f t="shared" si="20"/>
        <v>0</v>
      </c>
      <c r="H46" s="115">
        <f t="shared" si="20"/>
        <v>0</v>
      </c>
    </row>
    <row r="47" spans="1:8" ht="15.75" customHeight="1">
      <c r="A47" s="115" t="str">
        <f t="shared" si="14"/>
        <v>Black Gram/Udid</v>
      </c>
      <c r="B47" s="115">
        <f t="shared" si="15"/>
        <v>1927.35</v>
      </c>
      <c r="C47" s="115">
        <f t="shared" ref="C47:H47" si="21">(B47/B$40)*C$40</f>
        <v>2120.085</v>
      </c>
      <c r="D47" s="115">
        <f t="shared" si="21"/>
        <v>2312.8200000000002</v>
      </c>
      <c r="E47" s="115">
        <f t="shared" si="21"/>
        <v>2505.5550000000003</v>
      </c>
      <c r="F47" s="115">
        <f t="shared" si="21"/>
        <v>2698.2900000000004</v>
      </c>
      <c r="G47" s="115">
        <f t="shared" si="21"/>
        <v>2891.0250000000005</v>
      </c>
      <c r="H47" s="115">
        <f t="shared" si="21"/>
        <v>3083.7600000000007</v>
      </c>
    </row>
    <row r="48" spans="1:8" ht="15.75" hidden="1" customHeight="1">
      <c r="A48" s="115" t="str">
        <f t="shared" si="14"/>
        <v>Bajra</v>
      </c>
      <c r="B48" s="115">
        <f t="shared" si="15"/>
        <v>0</v>
      </c>
      <c r="C48" s="115">
        <f t="shared" ref="C48:H48" si="22">(B48/B$40)*C$40</f>
        <v>0</v>
      </c>
      <c r="D48" s="115">
        <f t="shared" si="22"/>
        <v>0</v>
      </c>
      <c r="E48" s="115">
        <f t="shared" si="22"/>
        <v>0</v>
      </c>
      <c r="F48" s="115">
        <f t="shared" si="22"/>
        <v>0</v>
      </c>
      <c r="G48" s="115">
        <f t="shared" si="22"/>
        <v>0</v>
      </c>
      <c r="H48" s="115">
        <f t="shared" si="22"/>
        <v>0</v>
      </c>
    </row>
    <row r="49" spans="1:8" ht="15.75" hidden="1" customHeight="1">
      <c r="A49" s="115" t="str">
        <f t="shared" si="14"/>
        <v>Jawar</v>
      </c>
      <c r="B49" s="115">
        <f t="shared" si="15"/>
        <v>0</v>
      </c>
      <c r="C49" s="115">
        <f t="shared" ref="C49:H49" si="23">(B49/B$40)*C$40</f>
        <v>0</v>
      </c>
      <c r="D49" s="115">
        <f t="shared" si="23"/>
        <v>0</v>
      </c>
      <c r="E49" s="115">
        <f t="shared" si="23"/>
        <v>0</v>
      </c>
      <c r="F49" s="115">
        <f t="shared" si="23"/>
        <v>0</v>
      </c>
      <c r="G49" s="115">
        <f t="shared" si="23"/>
        <v>0</v>
      </c>
      <c r="H49" s="115">
        <f t="shared" si="23"/>
        <v>0</v>
      </c>
    </row>
    <row r="50" spans="1:8" ht="15.75" hidden="1" customHeight="1">
      <c r="A50" s="115" t="str">
        <f t="shared" si="14"/>
        <v>Sunflower</v>
      </c>
      <c r="B50" s="115">
        <f t="shared" si="15"/>
        <v>0</v>
      </c>
      <c r="C50" s="115">
        <f t="shared" ref="C50:H50" si="24">(B50/B$40)*C$40</f>
        <v>0</v>
      </c>
      <c r="D50" s="115">
        <f t="shared" si="24"/>
        <v>0</v>
      </c>
      <c r="E50" s="115">
        <f t="shared" si="24"/>
        <v>0</v>
      </c>
      <c r="F50" s="115">
        <f t="shared" si="24"/>
        <v>0</v>
      </c>
      <c r="G50" s="115">
        <f t="shared" si="24"/>
        <v>0</v>
      </c>
      <c r="H50" s="115">
        <f t="shared" si="24"/>
        <v>0</v>
      </c>
    </row>
    <row r="51" spans="1:8" ht="15.75" customHeight="1">
      <c r="A51" s="115" t="str">
        <f t="shared" ref="A51:A58" si="25">B24</f>
        <v>Wheat</v>
      </c>
      <c r="B51" s="115">
        <f t="shared" ref="B51:B58" si="26">H24*$B$40</f>
        <v>2081.5379999999996</v>
      </c>
      <c r="C51" s="115">
        <f t="shared" ref="C51:H51" si="27">(B51/B$40)*C$40</f>
        <v>2289.6917999999996</v>
      </c>
      <c r="D51" s="115">
        <f t="shared" si="27"/>
        <v>2497.8455999999996</v>
      </c>
      <c r="E51" s="115">
        <f t="shared" si="27"/>
        <v>2705.9994000000002</v>
      </c>
      <c r="F51" s="115">
        <f t="shared" si="27"/>
        <v>2914.1532000000002</v>
      </c>
      <c r="G51" s="115">
        <f t="shared" si="27"/>
        <v>3122.3070000000002</v>
      </c>
      <c r="H51" s="115">
        <f t="shared" si="27"/>
        <v>3330.4608000000003</v>
      </c>
    </row>
    <row r="52" spans="1:8" ht="15.75" customHeight="1">
      <c r="A52" s="115" t="str">
        <f t="shared" si="25"/>
        <v>Bengal Gram/Channa</v>
      </c>
      <c r="B52" s="115">
        <f t="shared" si="26"/>
        <v>8094.869999999999</v>
      </c>
      <c r="C52" s="115">
        <f t="shared" ref="C52:H52" si="28">(B52/B$40)*C$40</f>
        <v>8904.357</v>
      </c>
      <c r="D52" s="115">
        <f t="shared" si="28"/>
        <v>9713.844000000001</v>
      </c>
      <c r="E52" s="115">
        <f t="shared" si="28"/>
        <v>10523.331000000002</v>
      </c>
      <c r="F52" s="115">
        <f t="shared" si="28"/>
        <v>11332.818000000003</v>
      </c>
      <c r="G52" s="115">
        <f t="shared" si="28"/>
        <v>12142.305000000004</v>
      </c>
      <c r="H52" s="115">
        <f t="shared" si="28"/>
        <v>12951.792000000005</v>
      </c>
    </row>
    <row r="53" spans="1:8" ht="15.75" hidden="1" customHeight="1">
      <c r="A53" s="115" t="str">
        <f t="shared" si="25"/>
        <v>Jawar</v>
      </c>
      <c r="B53" s="115">
        <f t="shared" si="26"/>
        <v>0</v>
      </c>
      <c r="C53" s="115">
        <f t="shared" ref="C53:H53" si="29">(B53/B$40)*C$40</f>
        <v>0</v>
      </c>
      <c r="D53" s="115">
        <f t="shared" si="29"/>
        <v>0</v>
      </c>
      <c r="E53" s="115">
        <f t="shared" si="29"/>
        <v>0</v>
      </c>
      <c r="F53" s="115">
        <f t="shared" si="29"/>
        <v>0</v>
      </c>
      <c r="G53" s="115">
        <f t="shared" si="29"/>
        <v>0</v>
      </c>
      <c r="H53" s="115">
        <f t="shared" si="29"/>
        <v>0</v>
      </c>
    </row>
    <row r="54" spans="1:8" ht="15.75" hidden="1" customHeight="1">
      <c r="A54" s="115" t="str">
        <f t="shared" si="25"/>
        <v>Maize</v>
      </c>
      <c r="B54" s="115">
        <f t="shared" si="26"/>
        <v>0</v>
      </c>
      <c r="C54" s="115">
        <f t="shared" ref="C54:H54" si="30">(B54/B$40)*C$40</f>
        <v>0</v>
      </c>
      <c r="D54" s="115">
        <f t="shared" si="30"/>
        <v>0</v>
      </c>
      <c r="E54" s="115">
        <f t="shared" si="30"/>
        <v>0</v>
      </c>
      <c r="F54" s="115">
        <f t="shared" si="30"/>
        <v>0</v>
      </c>
      <c r="G54" s="115">
        <f t="shared" si="30"/>
        <v>0</v>
      </c>
      <c r="H54" s="115">
        <f t="shared" si="30"/>
        <v>0</v>
      </c>
    </row>
    <row r="55" spans="1:8" ht="15.75" hidden="1" customHeight="1">
      <c r="A55" s="115" t="str">
        <f t="shared" si="25"/>
        <v>Safflower</v>
      </c>
      <c r="B55" s="115">
        <f t="shared" si="26"/>
        <v>0</v>
      </c>
      <c r="C55" s="115">
        <f t="shared" ref="C55:H55" si="31">(B55/B$40)*C$40</f>
        <v>0</v>
      </c>
      <c r="D55" s="115">
        <f t="shared" si="31"/>
        <v>0</v>
      </c>
      <c r="E55" s="115">
        <f t="shared" si="31"/>
        <v>0</v>
      </c>
      <c r="F55" s="115">
        <f t="shared" si="31"/>
        <v>0</v>
      </c>
      <c r="G55" s="115">
        <f t="shared" si="31"/>
        <v>0</v>
      </c>
      <c r="H55" s="115">
        <f t="shared" si="31"/>
        <v>0</v>
      </c>
    </row>
    <row r="56" spans="1:8" ht="15.75" hidden="1" customHeight="1">
      <c r="A56" s="115">
        <f t="shared" si="25"/>
        <v>0</v>
      </c>
      <c r="B56" s="115">
        <f t="shared" si="26"/>
        <v>0</v>
      </c>
      <c r="C56" s="115">
        <f t="shared" ref="C56:H56" si="32">(B56/B$40)*C$40</f>
        <v>0</v>
      </c>
      <c r="D56" s="115">
        <f t="shared" si="32"/>
        <v>0</v>
      </c>
      <c r="E56" s="115">
        <f t="shared" si="32"/>
        <v>0</v>
      </c>
      <c r="F56" s="115">
        <f t="shared" si="32"/>
        <v>0</v>
      </c>
      <c r="G56" s="115">
        <f t="shared" si="32"/>
        <v>0</v>
      </c>
      <c r="H56" s="115">
        <f t="shared" si="32"/>
        <v>0</v>
      </c>
    </row>
    <row r="57" spans="1:8" ht="15.75" hidden="1" customHeight="1">
      <c r="A57" s="115">
        <f t="shared" si="25"/>
        <v>0</v>
      </c>
      <c r="B57" s="115">
        <f t="shared" si="26"/>
        <v>0</v>
      </c>
      <c r="C57" s="115">
        <f t="shared" ref="C57:H57" si="33">(B57/B$40)*C$40</f>
        <v>0</v>
      </c>
      <c r="D57" s="115">
        <f t="shared" si="33"/>
        <v>0</v>
      </c>
      <c r="E57" s="115">
        <f t="shared" si="33"/>
        <v>0</v>
      </c>
      <c r="F57" s="115">
        <f t="shared" si="33"/>
        <v>0</v>
      </c>
      <c r="G57" s="115">
        <f t="shared" si="33"/>
        <v>0</v>
      </c>
      <c r="H57" s="115">
        <f t="shared" si="33"/>
        <v>0</v>
      </c>
    </row>
    <row r="58" spans="1:8" ht="15.75" hidden="1" customHeight="1">
      <c r="A58" s="115">
        <f t="shared" si="25"/>
        <v>0</v>
      </c>
      <c r="B58" s="115">
        <f t="shared" si="26"/>
        <v>0</v>
      </c>
      <c r="C58" s="115">
        <f t="shared" ref="C58:H58" si="34">(B58/B$40)*C$40</f>
        <v>0</v>
      </c>
      <c r="D58" s="115">
        <f t="shared" si="34"/>
        <v>0</v>
      </c>
      <c r="E58" s="115">
        <f t="shared" si="34"/>
        <v>0</v>
      </c>
      <c r="F58" s="115">
        <f t="shared" si="34"/>
        <v>0</v>
      </c>
      <c r="G58" s="115">
        <f t="shared" si="34"/>
        <v>0</v>
      </c>
      <c r="H58" s="115">
        <f t="shared" si="34"/>
        <v>0</v>
      </c>
    </row>
    <row r="59" spans="1:8" ht="15.75" hidden="1" customHeight="1">
      <c r="A59" s="115" t="str">
        <f>B33</f>
        <v>Groundnut</v>
      </c>
      <c r="B59" s="115">
        <f>H33*$B$40</f>
        <v>0</v>
      </c>
      <c r="C59" s="115">
        <f t="shared" ref="C59:H59" si="35">(B59/B$40)*C$40</f>
        <v>0</v>
      </c>
      <c r="D59" s="115">
        <f t="shared" si="35"/>
        <v>0</v>
      </c>
      <c r="E59" s="115">
        <f t="shared" si="35"/>
        <v>0</v>
      </c>
      <c r="F59" s="115">
        <f t="shared" si="35"/>
        <v>0</v>
      </c>
      <c r="G59" s="115">
        <f t="shared" si="35"/>
        <v>0</v>
      </c>
      <c r="H59" s="115">
        <f t="shared" si="35"/>
        <v>0</v>
      </c>
    </row>
    <row r="60" spans="1:8" ht="15.75" hidden="1" customHeight="1">
      <c r="A60" s="115">
        <f>B34</f>
        <v>0</v>
      </c>
      <c r="B60" s="115">
        <f>H34*$B$40</f>
        <v>0</v>
      </c>
      <c r="C60" s="115">
        <f t="shared" ref="C60:H60" si="36">(B60/B$40)*C$40</f>
        <v>0</v>
      </c>
      <c r="D60" s="115">
        <f t="shared" si="36"/>
        <v>0</v>
      </c>
      <c r="E60" s="115">
        <f t="shared" si="36"/>
        <v>0</v>
      </c>
      <c r="F60" s="115">
        <f t="shared" si="36"/>
        <v>0</v>
      </c>
      <c r="G60" s="115">
        <f t="shared" si="36"/>
        <v>0</v>
      </c>
      <c r="H60" s="115">
        <f t="shared" si="36"/>
        <v>0</v>
      </c>
    </row>
    <row r="61" spans="1:8" ht="15.75" hidden="1" customHeight="1">
      <c r="A61" s="115">
        <f>B35</f>
        <v>0</v>
      </c>
      <c r="B61" s="115">
        <f>H35*$B$40</f>
        <v>0</v>
      </c>
      <c r="C61" s="115">
        <f t="shared" ref="C61:H61" si="37">(B61/B$40)*C$40</f>
        <v>0</v>
      </c>
      <c r="D61" s="115">
        <f t="shared" si="37"/>
        <v>0</v>
      </c>
      <c r="E61" s="115">
        <f t="shared" si="37"/>
        <v>0</v>
      </c>
      <c r="F61" s="115">
        <f t="shared" si="37"/>
        <v>0</v>
      </c>
      <c r="G61" s="115">
        <f t="shared" si="37"/>
        <v>0</v>
      </c>
      <c r="H61" s="115">
        <f t="shared" si="37"/>
        <v>0</v>
      </c>
    </row>
    <row r="62" spans="1:8" ht="15.75" hidden="1" customHeight="1">
      <c r="A62" s="115">
        <f>B36</f>
        <v>0</v>
      </c>
      <c r="B62" s="115">
        <f>H36*$B$40</f>
        <v>0</v>
      </c>
      <c r="C62" s="115">
        <f t="shared" ref="C62:H62" si="38">(B62/B$40)*C$40</f>
        <v>0</v>
      </c>
      <c r="D62" s="115">
        <f t="shared" si="38"/>
        <v>0</v>
      </c>
      <c r="E62" s="115">
        <f t="shared" si="38"/>
        <v>0</v>
      </c>
      <c r="F62" s="115">
        <f t="shared" si="38"/>
        <v>0</v>
      </c>
      <c r="G62" s="115">
        <f t="shared" si="38"/>
        <v>0</v>
      </c>
      <c r="H62" s="115">
        <f t="shared" si="38"/>
        <v>0</v>
      </c>
    </row>
    <row r="63" spans="1:8" ht="15.75" customHeight="1"/>
    <row r="64" spans="1:8" ht="15.75" customHeight="1">
      <c r="A64" s="299" t="s">
        <v>530</v>
      </c>
      <c r="B64" s="255"/>
      <c r="C64" s="255"/>
      <c r="D64" s="255"/>
      <c r="E64" s="255"/>
      <c r="F64" s="255"/>
      <c r="G64" s="255"/>
      <c r="H64" s="256"/>
    </row>
    <row r="65" spans="1:8" ht="15.75" customHeight="1">
      <c r="A65" s="305" t="s">
        <v>150</v>
      </c>
      <c r="B65" s="242">
        <v>0.1</v>
      </c>
      <c r="C65" s="242">
        <f>B65+0.01</f>
        <v>0.11</v>
      </c>
      <c r="D65" s="242">
        <f t="shared" ref="D65:H65" si="39">C65+0.01</f>
        <v>0.12</v>
      </c>
      <c r="E65" s="242">
        <f t="shared" si="39"/>
        <v>0.13</v>
      </c>
      <c r="F65" s="242">
        <f t="shared" si="39"/>
        <v>0.14000000000000001</v>
      </c>
      <c r="G65" s="242">
        <f t="shared" si="39"/>
        <v>0.15000000000000002</v>
      </c>
      <c r="H65" s="242">
        <f t="shared" si="39"/>
        <v>0.16000000000000003</v>
      </c>
    </row>
    <row r="66" spans="1:8" ht="15.75" customHeight="1">
      <c r="A66" s="261"/>
      <c r="B66" s="147" t="s">
        <v>153</v>
      </c>
      <c r="C66" s="147" t="s">
        <v>154</v>
      </c>
      <c r="D66" s="147" t="s">
        <v>155</v>
      </c>
      <c r="E66" s="147" t="s">
        <v>156</v>
      </c>
      <c r="F66" s="147" t="s">
        <v>157</v>
      </c>
      <c r="G66" s="147" t="s">
        <v>158</v>
      </c>
      <c r="H66" s="147" t="s">
        <v>159</v>
      </c>
    </row>
    <row r="67" spans="1:8" ht="15.75" hidden="1" customHeight="1">
      <c r="A67" s="115" t="str">
        <f t="shared" ref="A67:A87" si="40">A42</f>
        <v>Soybean</v>
      </c>
      <c r="B67" s="115">
        <f>H14*$B$65*0</f>
        <v>0</v>
      </c>
      <c r="C67" s="115">
        <f t="shared" ref="C67:H67" si="41">(B67/B$65)*C$65</f>
        <v>0</v>
      </c>
      <c r="D67" s="115">
        <f t="shared" si="41"/>
        <v>0</v>
      </c>
      <c r="E67" s="115">
        <f t="shared" si="41"/>
        <v>0</v>
      </c>
      <c r="F67" s="115">
        <f t="shared" si="41"/>
        <v>0</v>
      </c>
      <c r="G67" s="115">
        <f t="shared" si="41"/>
        <v>0</v>
      </c>
      <c r="H67" s="115">
        <f t="shared" si="41"/>
        <v>0</v>
      </c>
    </row>
    <row r="68" spans="1:8" ht="15.75" customHeight="1">
      <c r="A68" s="115" t="str">
        <f t="shared" si="40"/>
        <v>Red Gram/Tur</v>
      </c>
      <c r="B68" s="115">
        <f t="shared" ref="B68:B75" si="42">H15*$B$65</f>
        <v>976.524</v>
      </c>
      <c r="C68" s="115">
        <f t="shared" ref="C68:H68" si="43">(B68/B$65)*C$65</f>
        <v>1074.1764000000001</v>
      </c>
      <c r="D68" s="115">
        <f t="shared" si="43"/>
        <v>1171.8288</v>
      </c>
      <c r="E68" s="115">
        <f t="shared" si="43"/>
        <v>1269.4811999999999</v>
      </c>
      <c r="F68" s="115">
        <f t="shared" si="43"/>
        <v>1367.1336000000001</v>
      </c>
      <c r="G68" s="115">
        <f t="shared" si="43"/>
        <v>1464.7860000000003</v>
      </c>
      <c r="H68" s="115">
        <f t="shared" si="43"/>
        <v>1562.4384000000002</v>
      </c>
    </row>
    <row r="69" spans="1:8" ht="15.75" hidden="1" customHeight="1">
      <c r="A69" s="115" t="str">
        <f t="shared" si="40"/>
        <v>Paddy/Rice</v>
      </c>
      <c r="B69" s="115">
        <f t="shared" si="42"/>
        <v>0</v>
      </c>
      <c r="C69" s="115">
        <f t="shared" ref="C69:H69" si="44">(B69/B$65)*C$65</f>
        <v>0</v>
      </c>
      <c r="D69" s="115">
        <f t="shared" si="44"/>
        <v>0</v>
      </c>
      <c r="E69" s="115">
        <f t="shared" si="44"/>
        <v>0</v>
      </c>
      <c r="F69" s="115">
        <f t="shared" si="44"/>
        <v>0</v>
      </c>
      <c r="G69" s="115">
        <f t="shared" si="44"/>
        <v>0</v>
      </c>
      <c r="H69" s="115">
        <f t="shared" si="44"/>
        <v>0</v>
      </c>
    </row>
    <row r="70" spans="1:8" ht="15.75" customHeight="1">
      <c r="A70" s="115" t="str">
        <f t="shared" si="40"/>
        <v>Green Gram/ Moong</v>
      </c>
      <c r="B70" s="115">
        <f t="shared" si="42"/>
        <v>629.601</v>
      </c>
      <c r="C70" s="115">
        <f t="shared" ref="C70:H70" si="45">(B70/B$65)*C$65</f>
        <v>692.5610999999999</v>
      </c>
      <c r="D70" s="115">
        <f t="shared" si="45"/>
        <v>755.52119999999991</v>
      </c>
      <c r="E70" s="115">
        <f t="shared" si="45"/>
        <v>818.48129999999992</v>
      </c>
      <c r="F70" s="115">
        <f t="shared" si="45"/>
        <v>881.44139999999993</v>
      </c>
      <c r="G70" s="115">
        <f t="shared" si="45"/>
        <v>944.40150000000006</v>
      </c>
      <c r="H70" s="115">
        <f t="shared" si="45"/>
        <v>1007.3616000000001</v>
      </c>
    </row>
    <row r="71" spans="1:8" ht="15.75" hidden="1" customHeight="1">
      <c r="A71" s="115" t="str">
        <f t="shared" si="40"/>
        <v>Maize</v>
      </c>
      <c r="B71" s="115">
        <f t="shared" si="42"/>
        <v>0</v>
      </c>
      <c r="C71" s="115">
        <f t="shared" ref="C71:H71" si="46">(B71/B$65)*C$65</f>
        <v>0</v>
      </c>
      <c r="D71" s="115">
        <f t="shared" si="46"/>
        <v>0</v>
      </c>
      <c r="E71" s="115">
        <f t="shared" si="46"/>
        <v>0</v>
      </c>
      <c r="F71" s="115">
        <f t="shared" si="46"/>
        <v>0</v>
      </c>
      <c r="G71" s="115">
        <f t="shared" si="46"/>
        <v>0</v>
      </c>
      <c r="H71" s="115">
        <f t="shared" si="46"/>
        <v>0</v>
      </c>
    </row>
    <row r="72" spans="1:8" ht="15.75" customHeight="1">
      <c r="A72" s="115" t="str">
        <f t="shared" si="40"/>
        <v>Black Gram/Udid</v>
      </c>
      <c r="B72" s="115">
        <f t="shared" si="42"/>
        <v>385.47</v>
      </c>
      <c r="C72" s="115">
        <f t="shared" ref="C72:H72" si="47">(B72/B$65)*C$65</f>
        <v>424.01700000000005</v>
      </c>
      <c r="D72" s="115">
        <f t="shared" si="47"/>
        <v>462.56400000000002</v>
      </c>
      <c r="E72" s="115">
        <f t="shared" si="47"/>
        <v>501.11100000000005</v>
      </c>
      <c r="F72" s="115">
        <f t="shared" si="47"/>
        <v>539.65800000000013</v>
      </c>
      <c r="G72" s="115">
        <f t="shared" si="47"/>
        <v>578.20500000000015</v>
      </c>
      <c r="H72" s="115">
        <f t="shared" si="47"/>
        <v>616.75200000000018</v>
      </c>
    </row>
    <row r="73" spans="1:8" ht="15.75" hidden="1" customHeight="1">
      <c r="A73" s="115" t="str">
        <f t="shared" si="40"/>
        <v>Bajra</v>
      </c>
      <c r="B73" s="115">
        <f t="shared" si="42"/>
        <v>0</v>
      </c>
      <c r="C73" s="115">
        <f t="shared" ref="C73:H73" si="48">(B73/B$65)*C$65</f>
        <v>0</v>
      </c>
      <c r="D73" s="115">
        <f t="shared" si="48"/>
        <v>0</v>
      </c>
      <c r="E73" s="115">
        <f t="shared" si="48"/>
        <v>0</v>
      </c>
      <c r="F73" s="115">
        <f t="shared" si="48"/>
        <v>0</v>
      </c>
      <c r="G73" s="115">
        <f t="shared" si="48"/>
        <v>0</v>
      </c>
      <c r="H73" s="115">
        <f t="shared" si="48"/>
        <v>0</v>
      </c>
    </row>
    <row r="74" spans="1:8" ht="15.75" hidden="1" customHeight="1">
      <c r="A74" s="115" t="str">
        <f t="shared" si="40"/>
        <v>Jawar</v>
      </c>
      <c r="B74" s="115">
        <f t="shared" si="42"/>
        <v>0</v>
      </c>
      <c r="C74" s="115">
        <f t="shared" ref="C74:H74" si="49">(B74/B$65)*C$65</f>
        <v>0</v>
      </c>
      <c r="D74" s="115">
        <f t="shared" si="49"/>
        <v>0</v>
      </c>
      <c r="E74" s="115">
        <f t="shared" si="49"/>
        <v>0</v>
      </c>
      <c r="F74" s="115">
        <f t="shared" si="49"/>
        <v>0</v>
      </c>
      <c r="G74" s="115">
        <f t="shared" si="49"/>
        <v>0</v>
      </c>
      <c r="H74" s="115">
        <f t="shared" si="49"/>
        <v>0</v>
      </c>
    </row>
    <row r="75" spans="1:8" ht="15.75" hidden="1" customHeight="1">
      <c r="A75" s="115" t="str">
        <f t="shared" si="40"/>
        <v>Sunflower</v>
      </c>
      <c r="B75" s="115">
        <f t="shared" si="42"/>
        <v>0</v>
      </c>
      <c r="C75" s="115">
        <f t="shared" ref="C75:H75" si="50">(B75/B$65)*C$65</f>
        <v>0</v>
      </c>
      <c r="D75" s="115">
        <f t="shared" si="50"/>
        <v>0</v>
      </c>
      <c r="E75" s="115">
        <f t="shared" si="50"/>
        <v>0</v>
      </c>
      <c r="F75" s="115">
        <f t="shared" si="50"/>
        <v>0</v>
      </c>
      <c r="G75" s="115">
        <f t="shared" si="50"/>
        <v>0</v>
      </c>
      <c r="H75" s="115">
        <f t="shared" si="50"/>
        <v>0</v>
      </c>
    </row>
    <row r="76" spans="1:8" ht="15.75" customHeight="1">
      <c r="A76" s="115" t="str">
        <f t="shared" si="40"/>
        <v>Wheat</v>
      </c>
      <c r="B76" s="115">
        <f t="shared" ref="B76:B83" si="51">H24*$B$65</f>
        <v>416.30759999999992</v>
      </c>
      <c r="C76" s="115">
        <f t="shared" ref="C76:H76" si="52">(B76/B$65)*C$65</f>
        <v>457.93835999999993</v>
      </c>
      <c r="D76" s="115">
        <f t="shared" si="52"/>
        <v>499.56911999999988</v>
      </c>
      <c r="E76" s="115">
        <f t="shared" si="52"/>
        <v>541.19987999999989</v>
      </c>
      <c r="F76" s="115">
        <f t="shared" si="52"/>
        <v>582.8306399999999</v>
      </c>
      <c r="G76" s="115">
        <f t="shared" si="52"/>
        <v>624.46139999999991</v>
      </c>
      <c r="H76" s="115">
        <f t="shared" si="52"/>
        <v>666.09216000000004</v>
      </c>
    </row>
    <row r="77" spans="1:8" ht="15.75" customHeight="1">
      <c r="A77" s="115" t="str">
        <f t="shared" si="40"/>
        <v>Bengal Gram/Channa</v>
      </c>
      <c r="B77" s="115">
        <f t="shared" si="51"/>
        <v>1618.9739999999999</v>
      </c>
      <c r="C77" s="115">
        <f t="shared" ref="C77:H77" si="53">(B77/B$65)*C$65</f>
        <v>1780.8713999999998</v>
      </c>
      <c r="D77" s="115">
        <f t="shared" si="53"/>
        <v>1942.7687999999996</v>
      </c>
      <c r="E77" s="115">
        <f t="shared" si="53"/>
        <v>2104.6661999999997</v>
      </c>
      <c r="F77" s="115">
        <f t="shared" si="53"/>
        <v>2266.5635999999995</v>
      </c>
      <c r="G77" s="115">
        <f t="shared" si="53"/>
        <v>2428.4609999999993</v>
      </c>
      <c r="H77" s="115">
        <f t="shared" si="53"/>
        <v>2590.3583999999992</v>
      </c>
    </row>
    <row r="78" spans="1:8" ht="15.75" hidden="1" customHeight="1">
      <c r="A78" s="115" t="str">
        <f t="shared" si="40"/>
        <v>Jawar</v>
      </c>
      <c r="B78" s="115">
        <f t="shared" si="51"/>
        <v>0</v>
      </c>
      <c r="C78" s="115">
        <f t="shared" ref="C78:H78" si="54">(B78/B$65)*C$65</f>
        <v>0</v>
      </c>
      <c r="D78" s="115">
        <f t="shared" si="54"/>
        <v>0</v>
      </c>
      <c r="E78" s="115">
        <f t="shared" si="54"/>
        <v>0</v>
      </c>
      <c r="F78" s="115">
        <f t="shared" si="54"/>
        <v>0</v>
      </c>
      <c r="G78" s="115">
        <f t="shared" si="54"/>
        <v>0</v>
      </c>
      <c r="H78" s="115">
        <f t="shared" si="54"/>
        <v>0</v>
      </c>
    </row>
    <row r="79" spans="1:8" ht="15.75" hidden="1" customHeight="1">
      <c r="A79" s="115" t="str">
        <f t="shared" si="40"/>
        <v>Maize</v>
      </c>
      <c r="B79" s="115">
        <f t="shared" si="51"/>
        <v>0</v>
      </c>
      <c r="C79" s="115">
        <f t="shared" ref="C79:H79" si="55">(B79/B$65)*C$65</f>
        <v>0</v>
      </c>
      <c r="D79" s="115">
        <f t="shared" si="55"/>
        <v>0</v>
      </c>
      <c r="E79" s="115">
        <f t="shared" si="55"/>
        <v>0</v>
      </c>
      <c r="F79" s="115">
        <f t="shared" si="55"/>
        <v>0</v>
      </c>
      <c r="G79" s="115">
        <f t="shared" si="55"/>
        <v>0</v>
      </c>
      <c r="H79" s="115">
        <f t="shared" si="55"/>
        <v>0</v>
      </c>
    </row>
    <row r="80" spans="1:8" ht="15.75" hidden="1" customHeight="1">
      <c r="A80" s="115" t="str">
        <f t="shared" si="40"/>
        <v>Safflower</v>
      </c>
      <c r="B80" s="115">
        <f t="shared" si="51"/>
        <v>0</v>
      </c>
      <c r="C80" s="115">
        <f t="shared" ref="C80:H80" si="56">(B80/B$65)*C$65</f>
        <v>0</v>
      </c>
      <c r="D80" s="115">
        <f t="shared" si="56"/>
        <v>0</v>
      </c>
      <c r="E80" s="115">
        <f t="shared" si="56"/>
        <v>0</v>
      </c>
      <c r="F80" s="115">
        <f t="shared" si="56"/>
        <v>0</v>
      </c>
      <c r="G80" s="115">
        <f t="shared" si="56"/>
        <v>0</v>
      </c>
      <c r="H80" s="115">
        <f t="shared" si="56"/>
        <v>0</v>
      </c>
    </row>
    <row r="81" spans="1:8" ht="15.75" hidden="1" customHeight="1">
      <c r="A81" s="115">
        <f t="shared" si="40"/>
        <v>0</v>
      </c>
      <c r="B81" s="115">
        <f t="shared" si="51"/>
        <v>0</v>
      </c>
      <c r="C81" s="115">
        <f t="shared" ref="C81:H81" si="57">(B81/B$65)*C$65</f>
        <v>0</v>
      </c>
      <c r="D81" s="115">
        <f t="shared" si="57"/>
        <v>0</v>
      </c>
      <c r="E81" s="115">
        <f t="shared" si="57"/>
        <v>0</v>
      </c>
      <c r="F81" s="115">
        <f t="shared" si="57"/>
        <v>0</v>
      </c>
      <c r="G81" s="115">
        <f t="shared" si="57"/>
        <v>0</v>
      </c>
      <c r="H81" s="115">
        <f t="shared" si="57"/>
        <v>0</v>
      </c>
    </row>
    <row r="82" spans="1:8" ht="15.75" hidden="1" customHeight="1">
      <c r="A82" s="115">
        <f t="shared" si="40"/>
        <v>0</v>
      </c>
      <c r="B82" s="115">
        <f t="shared" si="51"/>
        <v>0</v>
      </c>
      <c r="C82" s="115">
        <f t="shared" ref="C82:H82" si="58">(B82/B$65)*C$65</f>
        <v>0</v>
      </c>
      <c r="D82" s="115">
        <f t="shared" si="58"/>
        <v>0</v>
      </c>
      <c r="E82" s="115">
        <f t="shared" si="58"/>
        <v>0</v>
      </c>
      <c r="F82" s="115">
        <f t="shared" si="58"/>
        <v>0</v>
      </c>
      <c r="G82" s="115">
        <f t="shared" si="58"/>
        <v>0</v>
      </c>
      <c r="H82" s="115">
        <f t="shared" si="58"/>
        <v>0</v>
      </c>
    </row>
    <row r="83" spans="1:8" ht="15.75" hidden="1" customHeight="1">
      <c r="A83" s="115">
        <f t="shared" si="40"/>
        <v>0</v>
      </c>
      <c r="B83" s="115">
        <f t="shared" si="51"/>
        <v>0</v>
      </c>
      <c r="C83" s="115">
        <f t="shared" ref="C83:H83" si="59">(B83/B$65)*C$65</f>
        <v>0</v>
      </c>
      <c r="D83" s="115">
        <f t="shared" si="59"/>
        <v>0</v>
      </c>
      <c r="E83" s="115">
        <f t="shared" si="59"/>
        <v>0</v>
      </c>
      <c r="F83" s="115">
        <f t="shared" si="59"/>
        <v>0</v>
      </c>
      <c r="G83" s="115">
        <f t="shared" si="59"/>
        <v>0</v>
      </c>
      <c r="H83" s="115">
        <f t="shared" si="59"/>
        <v>0</v>
      </c>
    </row>
    <row r="84" spans="1:8" ht="15.75" hidden="1" customHeight="1">
      <c r="A84" s="115" t="str">
        <f t="shared" si="40"/>
        <v>Groundnut</v>
      </c>
      <c r="B84" s="115">
        <f>H33*$B$65</f>
        <v>0</v>
      </c>
      <c r="C84" s="115">
        <f t="shared" ref="C84:H84" si="60">(B84/B$65)*C$65</f>
        <v>0</v>
      </c>
      <c r="D84" s="115">
        <f t="shared" si="60"/>
        <v>0</v>
      </c>
      <c r="E84" s="115">
        <f t="shared" si="60"/>
        <v>0</v>
      </c>
      <c r="F84" s="115">
        <f t="shared" si="60"/>
        <v>0</v>
      </c>
      <c r="G84" s="115">
        <f t="shared" si="60"/>
        <v>0</v>
      </c>
      <c r="H84" s="115">
        <f t="shared" si="60"/>
        <v>0</v>
      </c>
    </row>
    <row r="85" spans="1:8" ht="15.75" hidden="1" customHeight="1">
      <c r="A85" s="115">
        <f t="shared" si="40"/>
        <v>0</v>
      </c>
      <c r="B85" s="115">
        <f>H34*$B$65</f>
        <v>0</v>
      </c>
      <c r="C85" s="115">
        <f t="shared" ref="C85:H85" si="61">(B85/B$65)*C$65</f>
        <v>0</v>
      </c>
      <c r="D85" s="115">
        <f t="shared" si="61"/>
        <v>0</v>
      </c>
      <c r="E85" s="115">
        <f t="shared" si="61"/>
        <v>0</v>
      </c>
      <c r="F85" s="115">
        <f t="shared" si="61"/>
        <v>0</v>
      </c>
      <c r="G85" s="115">
        <f t="shared" si="61"/>
        <v>0</v>
      </c>
      <c r="H85" s="115">
        <f t="shared" si="61"/>
        <v>0</v>
      </c>
    </row>
    <row r="86" spans="1:8" ht="15.75" hidden="1" customHeight="1">
      <c r="A86" s="115">
        <f t="shared" si="40"/>
        <v>0</v>
      </c>
      <c r="B86" s="115">
        <f>H35*$B$65</f>
        <v>0</v>
      </c>
      <c r="C86" s="115">
        <f t="shared" ref="C86:H86" si="62">(B86/B$65)*C$65</f>
        <v>0</v>
      </c>
      <c r="D86" s="115">
        <f t="shared" si="62"/>
        <v>0</v>
      </c>
      <c r="E86" s="115">
        <f t="shared" si="62"/>
        <v>0</v>
      </c>
      <c r="F86" s="115">
        <f t="shared" si="62"/>
        <v>0</v>
      </c>
      <c r="G86" s="115">
        <f t="shared" si="62"/>
        <v>0</v>
      </c>
      <c r="H86" s="115">
        <f t="shared" si="62"/>
        <v>0</v>
      </c>
    </row>
    <row r="87" spans="1:8" ht="15.75" hidden="1" customHeight="1">
      <c r="A87" s="115">
        <f t="shared" si="40"/>
        <v>0</v>
      </c>
      <c r="B87" s="115">
        <f>H36*$B$65</f>
        <v>0</v>
      </c>
      <c r="C87" s="115">
        <f t="shared" ref="C87:H87" si="63">(B87/B$65)*C$65</f>
        <v>0</v>
      </c>
      <c r="D87" s="115">
        <f t="shared" si="63"/>
        <v>0</v>
      </c>
      <c r="E87" s="115">
        <f t="shared" si="63"/>
        <v>0</v>
      </c>
      <c r="F87" s="115">
        <f t="shared" si="63"/>
        <v>0</v>
      </c>
      <c r="G87" s="115">
        <f t="shared" si="63"/>
        <v>0</v>
      </c>
      <c r="H87" s="115">
        <f t="shared" si="63"/>
        <v>0</v>
      </c>
    </row>
    <row r="88" spans="1:8" ht="15.75" customHeight="1"/>
    <row r="89" spans="1:8" ht="15.75" hidden="1" customHeight="1">
      <c r="A89" s="301" t="s">
        <v>531</v>
      </c>
      <c r="B89" s="255"/>
      <c r="C89" s="255"/>
      <c r="D89" s="255"/>
      <c r="E89" s="255"/>
      <c r="F89" s="255"/>
      <c r="G89" s="255"/>
      <c r="H89" s="256"/>
    </row>
    <row r="90" spans="1:8" ht="15.75" hidden="1" customHeight="1">
      <c r="A90" s="300" t="s">
        <v>150</v>
      </c>
      <c r="B90" s="165">
        <v>0.65</v>
      </c>
      <c r="C90" s="166">
        <f t="shared" ref="C90:H90" si="64">B90+0.05</f>
        <v>0.70000000000000007</v>
      </c>
      <c r="D90" s="166">
        <f t="shared" si="64"/>
        <v>0.75000000000000011</v>
      </c>
      <c r="E90" s="166">
        <f t="shared" si="64"/>
        <v>0.80000000000000016</v>
      </c>
      <c r="F90" s="166">
        <f t="shared" si="64"/>
        <v>0.8500000000000002</v>
      </c>
      <c r="G90" s="166">
        <f t="shared" si="64"/>
        <v>0.90000000000000024</v>
      </c>
      <c r="H90" s="166">
        <f t="shared" si="64"/>
        <v>0.95000000000000029</v>
      </c>
    </row>
    <row r="91" spans="1:8" ht="15.75" hidden="1" customHeight="1">
      <c r="A91" s="261"/>
      <c r="B91" s="147" t="s">
        <v>153</v>
      </c>
      <c r="C91" s="147" t="s">
        <v>154</v>
      </c>
      <c r="D91" s="147" t="s">
        <v>155</v>
      </c>
      <c r="E91" s="147" t="s">
        <v>156</v>
      </c>
      <c r="F91" s="147" t="s">
        <v>157</v>
      </c>
      <c r="G91" s="147" t="s">
        <v>158</v>
      </c>
      <c r="H91" s="147" t="s">
        <v>159</v>
      </c>
    </row>
    <row r="92" spans="1:8" ht="15.75" hidden="1" customHeight="1">
      <c r="A92" s="115" t="str">
        <f t="shared" ref="A92:A112" si="65">A67</f>
        <v>Soybean</v>
      </c>
      <c r="B92" s="115">
        <v>0</v>
      </c>
      <c r="C92" s="115">
        <f t="shared" ref="C92:H92" si="66">(B92/B$90)*C$90</f>
        <v>0</v>
      </c>
      <c r="D92" s="115">
        <f t="shared" si="66"/>
        <v>0</v>
      </c>
      <c r="E92" s="115">
        <f t="shared" si="66"/>
        <v>0</v>
      </c>
      <c r="F92" s="115">
        <f t="shared" si="66"/>
        <v>0</v>
      </c>
      <c r="G92" s="115">
        <f t="shared" si="66"/>
        <v>0</v>
      </c>
      <c r="H92" s="115">
        <f t="shared" si="66"/>
        <v>0</v>
      </c>
    </row>
    <row r="93" spans="1:8" ht="15.75" hidden="1" customHeight="1">
      <c r="A93" s="115" t="str">
        <f t="shared" si="65"/>
        <v>Red Gram/Tur</v>
      </c>
      <c r="B93" s="115">
        <v>0</v>
      </c>
      <c r="C93" s="115">
        <f t="shared" ref="C93:C113" si="67">(B93/B$90)*C$90</f>
        <v>0</v>
      </c>
      <c r="D93" s="115">
        <f t="shared" ref="D93:H93" si="68">(C93/C90)*D90</f>
        <v>0</v>
      </c>
      <c r="E93" s="115">
        <f t="shared" si="68"/>
        <v>0</v>
      </c>
      <c r="F93" s="115">
        <f t="shared" si="68"/>
        <v>0</v>
      </c>
      <c r="G93" s="115">
        <f t="shared" si="68"/>
        <v>0</v>
      </c>
      <c r="H93" s="115">
        <f t="shared" si="68"/>
        <v>0</v>
      </c>
    </row>
    <row r="94" spans="1:8" ht="15.75" hidden="1" customHeight="1">
      <c r="A94" s="115" t="str">
        <f t="shared" si="65"/>
        <v>Paddy/Rice</v>
      </c>
      <c r="B94" s="115">
        <f t="shared" ref="B94:B100" si="69">D16*$B$90</f>
        <v>0</v>
      </c>
      <c r="C94" s="115">
        <f t="shared" si="67"/>
        <v>0</v>
      </c>
      <c r="D94" s="115">
        <f t="shared" ref="D94:H94" si="70">(C94/C$90)*D$90</f>
        <v>0</v>
      </c>
      <c r="E94" s="115">
        <f t="shared" si="70"/>
        <v>0</v>
      </c>
      <c r="F94" s="115">
        <f t="shared" si="70"/>
        <v>0</v>
      </c>
      <c r="G94" s="115">
        <f t="shared" si="70"/>
        <v>0</v>
      </c>
      <c r="H94" s="115">
        <f t="shared" si="70"/>
        <v>0</v>
      </c>
    </row>
    <row r="95" spans="1:8" ht="15.75" hidden="1" customHeight="1">
      <c r="A95" s="115" t="str">
        <f t="shared" si="65"/>
        <v>Green Gram/ Moong</v>
      </c>
      <c r="B95" s="115">
        <v>0</v>
      </c>
      <c r="C95" s="115">
        <f t="shared" si="67"/>
        <v>0</v>
      </c>
      <c r="D95" s="115">
        <f t="shared" ref="D95:H95" si="71">(C95/C$90)*D$90</f>
        <v>0</v>
      </c>
      <c r="E95" s="115">
        <f t="shared" si="71"/>
        <v>0</v>
      </c>
      <c r="F95" s="115">
        <f t="shared" si="71"/>
        <v>0</v>
      </c>
      <c r="G95" s="115">
        <f t="shared" si="71"/>
        <v>0</v>
      </c>
      <c r="H95" s="115">
        <f t="shared" si="71"/>
        <v>0</v>
      </c>
    </row>
    <row r="96" spans="1:8" ht="15.75" hidden="1" customHeight="1">
      <c r="A96" s="115" t="str">
        <f t="shared" si="65"/>
        <v>Maize</v>
      </c>
      <c r="B96" s="115">
        <f t="shared" si="69"/>
        <v>0</v>
      </c>
      <c r="C96" s="115">
        <f t="shared" si="67"/>
        <v>0</v>
      </c>
      <c r="D96" s="115">
        <f t="shared" ref="D96:H96" si="72">(C96/C$90)*D$90</f>
        <v>0</v>
      </c>
      <c r="E96" s="115">
        <f t="shared" si="72"/>
        <v>0</v>
      </c>
      <c r="F96" s="115">
        <f t="shared" si="72"/>
        <v>0</v>
      </c>
      <c r="G96" s="115">
        <f t="shared" si="72"/>
        <v>0</v>
      </c>
      <c r="H96" s="115">
        <f t="shared" si="72"/>
        <v>0</v>
      </c>
    </row>
    <row r="97" spans="1:8" ht="15.75" hidden="1" customHeight="1">
      <c r="A97" s="115" t="str">
        <f t="shared" si="65"/>
        <v>Black Gram/Udid</v>
      </c>
      <c r="B97" s="115">
        <v>0</v>
      </c>
      <c r="C97" s="115">
        <f t="shared" si="67"/>
        <v>0</v>
      </c>
      <c r="D97" s="115">
        <f t="shared" ref="D97:H97" si="73">(C97/C$90)*D$90</f>
        <v>0</v>
      </c>
      <c r="E97" s="115">
        <f t="shared" si="73"/>
        <v>0</v>
      </c>
      <c r="F97" s="115">
        <f t="shared" si="73"/>
        <v>0</v>
      </c>
      <c r="G97" s="115">
        <f t="shared" si="73"/>
        <v>0</v>
      </c>
      <c r="H97" s="115">
        <f t="shared" si="73"/>
        <v>0</v>
      </c>
    </row>
    <row r="98" spans="1:8" ht="15.75" hidden="1" customHeight="1">
      <c r="A98" s="115" t="str">
        <f t="shared" si="65"/>
        <v>Bajra</v>
      </c>
      <c r="B98" s="115">
        <f t="shared" si="69"/>
        <v>0</v>
      </c>
      <c r="C98" s="115">
        <f t="shared" si="67"/>
        <v>0</v>
      </c>
      <c r="D98" s="115">
        <f t="shared" ref="D98:H98" si="74">(C98/C$90)*D$90</f>
        <v>0</v>
      </c>
      <c r="E98" s="115">
        <f t="shared" si="74"/>
        <v>0</v>
      </c>
      <c r="F98" s="115">
        <f t="shared" si="74"/>
        <v>0</v>
      </c>
      <c r="G98" s="115">
        <f t="shared" si="74"/>
        <v>0</v>
      </c>
      <c r="H98" s="115">
        <f t="shared" si="74"/>
        <v>0</v>
      </c>
    </row>
    <row r="99" spans="1:8" ht="15.75" hidden="1" customHeight="1">
      <c r="A99" s="115" t="str">
        <f t="shared" si="65"/>
        <v>Jawar</v>
      </c>
      <c r="B99" s="115">
        <f t="shared" si="69"/>
        <v>0</v>
      </c>
      <c r="C99" s="115">
        <f t="shared" si="67"/>
        <v>0</v>
      </c>
      <c r="D99" s="115">
        <f t="shared" ref="D99:H99" si="75">(C99/C$90)*D$90</f>
        <v>0</v>
      </c>
      <c r="E99" s="115">
        <f t="shared" si="75"/>
        <v>0</v>
      </c>
      <c r="F99" s="115">
        <f t="shared" si="75"/>
        <v>0</v>
      </c>
      <c r="G99" s="115">
        <f t="shared" si="75"/>
        <v>0</v>
      </c>
      <c r="H99" s="115">
        <f t="shared" si="75"/>
        <v>0</v>
      </c>
    </row>
    <row r="100" spans="1:8" ht="15.75" hidden="1" customHeight="1">
      <c r="A100" s="115" t="str">
        <f t="shared" si="65"/>
        <v>Sunflower</v>
      </c>
      <c r="B100" s="115">
        <f t="shared" si="69"/>
        <v>0</v>
      </c>
      <c r="C100" s="115">
        <f t="shared" si="67"/>
        <v>0</v>
      </c>
      <c r="D100" s="115">
        <f t="shared" ref="D100:H100" si="76">(C100/C$90)*D$90</f>
        <v>0</v>
      </c>
      <c r="E100" s="115">
        <f t="shared" si="76"/>
        <v>0</v>
      </c>
      <c r="F100" s="115">
        <f t="shared" si="76"/>
        <v>0</v>
      </c>
      <c r="G100" s="115">
        <f t="shared" si="76"/>
        <v>0</v>
      </c>
      <c r="H100" s="115">
        <f t="shared" si="76"/>
        <v>0</v>
      </c>
    </row>
    <row r="101" spans="1:8" ht="15.75" hidden="1" customHeight="1">
      <c r="A101" s="115" t="str">
        <f t="shared" si="65"/>
        <v>Wheat</v>
      </c>
      <c r="B101" s="115">
        <v>0</v>
      </c>
      <c r="C101" s="115">
        <f t="shared" si="67"/>
        <v>0</v>
      </c>
      <c r="D101" s="115">
        <f t="shared" ref="D101:H101" si="77">(C101/C$90)*D$90</f>
        <v>0</v>
      </c>
      <c r="E101" s="115">
        <f t="shared" si="77"/>
        <v>0</v>
      </c>
      <c r="F101" s="115">
        <f t="shared" si="77"/>
        <v>0</v>
      </c>
      <c r="G101" s="115">
        <f t="shared" si="77"/>
        <v>0</v>
      </c>
      <c r="H101" s="115">
        <f t="shared" si="77"/>
        <v>0</v>
      </c>
    </row>
    <row r="102" spans="1:8" ht="15.75" hidden="1" customHeight="1">
      <c r="A102" s="115" t="str">
        <f t="shared" si="65"/>
        <v>Bengal Gram/Channa</v>
      </c>
      <c r="B102" s="115">
        <v>0</v>
      </c>
      <c r="C102" s="115">
        <f t="shared" si="67"/>
        <v>0</v>
      </c>
      <c r="D102" s="115">
        <f t="shared" ref="D102:H102" si="78">(C102/C$90)*D$90</f>
        <v>0</v>
      </c>
      <c r="E102" s="115">
        <f t="shared" si="78"/>
        <v>0</v>
      </c>
      <c r="F102" s="115">
        <f t="shared" si="78"/>
        <v>0</v>
      </c>
      <c r="G102" s="115">
        <f t="shared" si="78"/>
        <v>0</v>
      </c>
      <c r="H102" s="115">
        <f t="shared" si="78"/>
        <v>0</v>
      </c>
    </row>
    <row r="103" spans="1:8" ht="15.75" hidden="1" customHeight="1">
      <c r="A103" s="115" t="str">
        <f t="shared" si="65"/>
        <v>Jawar</v>
      </c>
      <c r="B103" s="115">
        <f t="shared" ref="B103:B108" si="79">D26*$B$90</f>
        <v>0</v>
      </c>
      <c r="C103" s="115">
        <f t="shared" si="67"/>
        <v>0</v>
      </c>
      <c r="D103" s="115">
        <f t="shared" ref="D103:H103" si="80">(C103/C$90)*D$90</f>
        <v>0</v>
      </c>
      <c r="E103" s="115">
        <f t="shared" si="80"/>
        <v>0</v>
      </c>
      <c r="F103" s="115">
        <f t="shared" si="80"/>
        <v>0</v>
      </c>
      <c r="G103" s="115">
        <f t="shared" si="80"/>
        <v>0</v>
      </c>
      <c r="H103" s="115">
        <f t="shared" si="80"/>
        <v>0</v>
      </c>
    </row>
    <row r="104" spans="1:8" ht="15.75" hidden="1" customHeight="1">
      <c r="A104" s="115" t="str">
        <f t="shared" si="65"/>
        <v>Maize</v>
      </c>
      <c r="B104" s="115">
        <f t="shared" si="79"/>
        <v>0</v>
      </c>
      <c r="C104" s="115">
        <f t="shared" si="67"/>
        <v>0</v>
      </c>
      <c r="D104" s="115">
        <f t="shared" ref="D104:H104" si="81">(C104/C$90)*D$90</f>
        <v>0</v>
      </c>
      <c r="E104" s="115">
        <f t="shared" si="81"/>
        <v>0</v>
      </c>
      <c r="F104" s="115">
        <f t="shared" si="81"/>
        <v>0</v>
      </c>
      <c r="G104" s="115">
        <f t="shared" si="81"/>
        <v>0</v>
      </c>
      <c r="H104" s="115">
        <f t="shared" si="81"/>
        <v>0</v>
      </c>
    </row>
    <row r="105" spans="1:8" ht="15.75" hidden="1" customHeight="1">
      <c r="A105" s="115" t="str">
        <f t="shared" si="65"/>
        <v>Safflower</v>
      </c>
      <c r="B105" s="115">
        <f t="shared" si="79"/>
        <v>0</v>
      </c>
      <c r="C105" s="115">
        <f t="shared" si="67"/>
        <v>0</v>
      </c>
      <c r="D105" s="115">
        <f t="shared" ref="D105:H105" si="82">(C105/C$90)*D$90</f>
        <v>0</v>
      </c>
      <c r="E105" s="115">
        <f t="shared" si="82"/>
        <v>0</v>
      </c>
      <c r="F105" s="115">
        <f t="shared" si="82"/>
        <v>0</v>
      </c>
      <c r="G105" s="115">
        <f t="shared" si="82"/>
        <v>0</v>
      </c>
      <c r="H105" s="115">
        <f t="shared" si="82"/>
        <v>0</v>
      </c>
    </row>
    <row r="106" spans="1:8" ht="15.75" hidden="1" customHeight="1">
      <c r="A106" s="115">
        <f t="shared" si="65"/>
        <v>0</v>
      </c>
      <c r="B106" s="115">
        <f t="shared" si="79"/>
        <v>0</v>
      </c>
      <c r="C106" s="115">
        <f t="shared" si="67"/>
        <v>0</v>
      </c>
      <c r="D106" s="115">
        <f t="shared" ref="D106:H106" si="83">(C106/C$90)*D$90</f>
        <v>0</v>
      </c>
      <c r="E106" s="115">
        <f t="shared" si="83"/>
        <v>0</v>
      </c>
      <c r="F106" s="115">
        <f t="shared" si="83"/>
        <v>0</v>
      </c>
      <c r="G106" s="115">
        <f t="shared" si="83"/>
        <v>0</v>
      </c>
      <c r="H106" s="115">
        <f t="shared" si="83"/>
        <v>0</v>
      </c>
    </row>
    <row r="107" spans="1:8" ht="15.75" hidden="1" customHeight="1">
      <c r="A107" s="115">
        <f t="shared" si="65"/>
        <v>0</v>
      </c>
      <c r="B107" s="115">
        <f t="shared" si="79"/>
        <v>0</v>
      </c>
      <c r="C107" s="115">
        <f t="shared" si="67"/>
        <v>0</v>
      </c>
      <c r="D107" s="115">
        <f t="shared" ref="D107:H107" si="84">(C107/C$90)*D$90</f>
        <v>0</v>
      </c>
      <c r="E107" s="115">
        <f t="shared" si="84"/>
        <v>0</v>
      </c>
      <c r="F107" s="115">
        <f t="shared" si="84"/>
        <v>0</v>
      </c>
      <c r="G107" s="115">
        <f t="shared" si="84"/>
        <v>0</v>
      </c>
      <c r="H107" s="115">
        <f t="shared" si="84"/>
        <v>0</v>
      </c>
    </row>
    <row r="108" spans="1:8" ht="15.75" hidden="1" customHeight="1">
      <c r="A108" s="115">
        <f t="shared" si="65"/>
        <v>0</v>
      </c>
      <c r="B108" s="115">
        <f t="shared" si="79"/>
        <v>0</v>
      </c>
      <c r="C108" s="115">
        <f t="shared" si="67"/>
        <v>0</v>
      </c>
      <c r="D108" s="115">
        <f t="shared" ref="D108:H108" si="85">(C108/C$90)*D$90</f>
        <v>0</v>
      </c>
      <c r="E108" s="115">
        <f t="shared" si="85"/>
        <v>0</v>
      </c>
      <c r="F108" s="115">
        <f t="shared" si="85"/>
        <v>0</v>
      </c>
      <c r="G108" s="115">
        <f t="shared" si="85"/>
        <v>0</v>
      </c>
      <c r="H108" s="115">
        <f t="shared" si="85"/>
        <v>0</v>
      </c>
    </row>
    <row r="109" spans="1:8" ht="15.75" hidden="1" customHeight="1">
      <c r="A109" s="115" t="str">
        <f t="shared" si="65"/>
        <v>Groundnut</v>
      </c>
      <c r="B109" s="115">
        <f>D33*$B$90</f>
        <v>0</v>
      </c>
      <c r="C109" s="115">
        <f t="shared" si="67"/>
        <v>0</v>
      </c>
      <c r="D109" s="115">
        <f t="shared" ref="D109:H109" si="86">(C109/C$90)*D$90</f>
        <v>0</v>
      </c>
      <c r="E109" s="115">
        <f t="shared" si="86"/>
        <v>0</v>
      </c>
      <c r="F109" s="115">
        <f t="shared" si="86"/>
        <v>0</v>
      </c>
      <c r="G109" s="115">
        <f t="shared" si="86"/>
        <v>0</v>
      </c>
      <c r="H109" s="115">
        <f t="shared" si="86"/>
        <v>0</v>
      </c>
    </row>
    <row r="110" spans="1:8" ht="15.75" hidden="1" customHeight="1">
      <c r="A110" s="115">
        <f t="shared" si="65"/>
        <v>0</v>
      </c>
      <c r="B110" s="115">
        <f>D34*$B$90</f>
        <v>0</v>
      </c>
      <c r="C110" s="115">
        <f t="shared" si="67"/>
        <v>0</v>
      </c>
      <c r="D110" s="115">
        <f t="shared" ref="D110:H110" si="87">(C110/C$90)*D$90</f>
        <v>0</v>
      </c>
      <c r="E110" s="115">
        <f t="shared" si="87"/>
        <v>0</v>
      </c>
      <c r="F110" s="115">
        <f t="shared" si="87"/>
        <v>0</v>
      </c>
      <c r="G110" s="115">
        <f t="shared" si="87"/>
        <v>0</v>
      </c>
      <c r="H110" s="115">
        <f t="shared" si="87"/>
        <v>0</v>
      </c>
    </row>
    <row r="111" spans="1:8" ht="15.75" hidden="1" customHeight="1">
      <c r="A111" s="115">
        <f t="shared" si="65"/>
        <v>0</v>
      </c>
      <c r="B111" s="115">
        <f>D34*$B$90</f>
        <v>0</v>
      </c>
      <c r="C111" s="115">
        <f t="shared" si="67"/>
        <v>0</v>
      </c>
      <c r="D111" s="115">
        <f t="shared" ref="D111:H111" si="88">(C111/C$90)*D$90</f>
        <v>0</v>
      </c>
      <c r="E111" s="115">
        <f t="shared" si="88"/>
        <v>0</v>
      </c>
      <c r="F111" s="115">
        <f t="shared" si="88"/>
        <v>0</v>
      </c>
      <c r="G111" s="115">
        <f t="shared" si="88"/>
        <v>0</v>
      </c>
      <c r="H111" s="115">
        <f t="shared" si="88"/>
        <v>0</v>
      </c>
    </row>
    <row r="112" spans="1:8" ht="15.75" hidden="1" customHeight="1">
      <c r="A112" s="115">
        <f t="shared" si="65"/>
        <v>0</v>
      </c>
      <c r="B112" s="115">
        <f>D36*$B$90</f>
        <v>0</v>
      </c>
      <c r="C112" s="115">
        <f t="shared" si="67"/>
        <v>0</v>
      </c>
      <c r="D112" s="115">
        <f t="shared" ref="D112:H112" si="89">(C112/C$90)*D$90</f>
        <v>0</v>
      </c>
      <c r="E112" s="115">
        <f t="shared" si="89"/>
        <v>0</v>
      </c>
      <c r="F112" s="115">
        <f t="shared" si="89"/>
        <v>0</v>
      </c>
      <c r="G112" s="115">
        <f t="shared" si="89"/>
        <v>0</v>
      </c>
      <c r="H112" s="115">
        <f t="shared" si="89"/>
        <v>0</v>
      </c>
    </row>
    <row r="113" spans="1:9" ht="15.75" hidden="1" customHeight="1">
      <c r="A113" s="115"/>
      <c r="B113" s="115">
        <f>D37*$B$90</f>
        <v>0</v>
      </c>
      <c r="C113" s="115">
        <f t="shared" si="67"/>
        <v>0</v>
      </c>
      <c r="D113" s="115">
        <f t="shared" ref="D113:H113" si="90">(C113/C$90)*D$90</f>
        <v>0</v>
      </c>
      <c r="E113" s="115">
        <f t="shared" si="90"/>
        <v>0</v>
      </c>
      <c r="F113" s="115">
        <f t="shared" si="90"/>
        <v>0</v>
      </c>
      <c r="G113" s="115">
        <f t="shared" si="90"/>
        <v>0</v>
      </c>
      <c r="H113" s="115">
        <f t="shared" si="90"/>
        <v>0</v>
      </c>
    </row>
    <row r="114" spans="1:9" ht="15.75" hidden="1" customHeight="1"/>
    <row r="115" spans="1:9" ht="15.75" hidden="1" customHeight="1">
      <c r="C115" s="131"/>
      <c r="D115" s="140"/>
      <c r="E115" s="140"/>
      <c r="F115" s="140"/>
      <c r="G115" s="140"/>
      <c r="H115" s="140"/>
      <c r="I115" s="140"/>
    </row>
    <row r="116" spans="1:9" ht="15.75" hidden="1" customHeight="1">
      <c r="A116" t="s">
        <v>532</v>
      </c>
      <c r="C116" s="39"/>
      <c r="D116" s="39"/>
      <c r="E116" s="39"/>
      <c r="F116" s="39"/>
      <c r="G116" s="39"/>
      <c r="H116" s="39"/>
      <c r="I116" s="39"/>
    </row>
    <row r="117" spans="1:9" ht="15.75" hidden="1" customHeight="1">
      <c r="A117">
        <v>1</v>
      </c>
      <c r="B117" t="s">
        <v>533</v>
      </c>
    </row>
    <row r="118" spans="1:9" ht="15.75" hidden="1" customHeight="1">
      <c r="A118">
        <v>2</v>
      </c>
      <c r="B118" t="s">
        <v>534</v>
      </c>
    </row>
    <row r="119" spans="1:9" ht="15.75" hidden="1" customHeight="1">
      <c r="A119">
        <v>3</v>
      </c>
      <c r="B119" t="s">
        <v>535</v>
      </c>
    </row>
    <row r="120" spans="1:9" ht="15" hidden="1" customHeight="1"/>
    <row r="121" spans="1:9" ht="15" hidden="1" customHeight="1"/>
    <row r="122" spans="1:9" ht="15" hidden="1" customHeight="1"/>
    <row r="123" spans="1:9" ht="15" hidden="1" customHeight="1"/>
    <row r="124" spans="1:9" ht="15" hidden="1" customHeight="1"/>
    <row r="125" spans="1:9" ht="15" hidden="1" customHeight="1"/>
    <row r="126" spans="1:9" ht="15" hidden="1" customHeight="1"/>
    <row r="127" spans="1:9" ht="15" hidden="1" customHeight="1"/>
    <row r="128" spans="1:9" ht="15" hidden="1" customHeight="1"/>
    <row r="129" ht="15" hidden="1" customHeight="1"/>
    <row r="130" ht="15" hidden="1" customHeight="1"/>
    <row r="131" ht="15" hidden="1" customHeight="1"/>
    <row r="132" ht="15" hidden="1" customHeight="1"/>
    <row r="133" ht="15" hidden="1" customHeight="1"/>
    <row r="134" ht="15" hidden="1" customHeight="1"/>
    <row r="135" ht="15" hidden="1" customHeight="1"/>
    <row r="136" ht="15" hidden="1" customHeight="1"/>
    <row r="137" ht="15" hidden="1" customHeight="1"/>
    <row r="138" ht="15" hidden="1" customHeight="1"/>
    <row r="139" ht="15" hidden="1" customHeight="1"/>
    <row r="140" ht="15" hidden="1" customHeight="1"/>
    <row r="141" ht="15" hidden="1" customHeight="1"/>
    <row r="142" ht="15" hidden="1" customHeight="1"/>
    <row r="143" ht="15" hidden="1" customHeight="1"/>
    <row r="144" ht="15" hidden="1" customHeight="1"/>
    <row r="145" ht="15" hidden="1" customHeight="1"/>
    <row r="146" ht="15" hidden="1" customHeight="1"/>
    <row r="147" ht="15" hidden="1" customHeight="1"/>
    <row r="148" ht="15" hidden="1" customHeight="1"/>
    <row r="149" ht="15" hidden="1" customHeight="1"/>
    <row r="150" ht="15" hidden="1" customHeight="1"/>
    <row r="151" ht="15" hidden="1" customHeight="1"/>
    <row r="152" ht="15" hidden="1" customHeight="1"/>
    <row r="153" ht="15" hidden="1" customHeight="1"/>
    <row r="154" ht="15" hidden="1" customHeight="1"/>
    <row r="155" ht="15" hidden="1" customHeight="1"/>
    <row r="156" ht="15" hidden="1" customHeight="1"/>
    <row r="157" ht="15" hidden="1" customHeight="1"/>
    <row r="158" ht="15" hidden="1" customHeight="1"/>
    <row r="159" ht="15" hidden="1" customHeight="1"/>
    <row r="160" ht="15" hidden="1" customHeight="1"/>
    <row r="161" ht="15" hidden="1" customHeight="1"/>
    <row r="162" ht="15" hidden="1" customHeight="1"/>
    <row r="163" ht="15" hidden="1" customHeight="1"/>
    <row r="164" ht="15" hidden="1" customHeight="1"/>
    <row r="165" ht="15" hidden="1" customHeight="1"/>
  </sheetData>
  <mergeCells count="12">
    <mergeCell ref="A40:A41"/>
    <mergeCell ref="A64:H64"/>
    <mergeCell ref="A90:A91"/>
    <mergeCell ref="A89:H89"/>
    <mergeCell ref="A1:H1"/>
    <mergeCell ref="A3:B3"/>
    <mergeCell ref="A11:H11"/>
    <mergeCell ref="A37:H37"/>
    <mergeCell ref="A39:H39"/>
    <mergeCell ref="A65:A66"/>
    <mergeCell ref="A14:A19"/>
    <mergeCell ref="A24:A25"/>
  </mergeCells>
  <pageMargins left="0.70866141732283472" right="0.70866141732283472" top="0.74803149606299213" bottom="0.74803149606299213" header="0" footer="0"/>
  <pageSetup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5:T171"/>
  <sheetViews>
    <sheetView view="pageBreakPreview" zoomScale="60" workbookViewId="0">
      <selection activeCell="G13" sqref="G13"/>
    </sheetView>
  </sheetViews>
  <sheetFormatPr defaultColWidth="14.42578125" defaultRowHeight="15" customHeight="1"/>
  <cols>
    <col min="1" max="1" width="8.7109375" customWidth="1"/>
    <col min="2" max="2" width="32.7109375" customWidth="1"/>
    <col min="3" max="3" width="21.28515625" customWidth="1"/>
    <col min="4" max="4" width="22" customWidth="1"/>
    <col min="5" max="5" width="21.7109375" customWidth="1"/>
    <col min="6" max="7" width="21.85546875" customWidth="1"/>
    <col min="8" max="8" width="27" customWidth="1"/>
    <col min="9" max="9" width="8.140625" customWidth="1"/>
    <col min="10" max="10" width="18.7109375" hidden="1" customWidth="1"/>
    <col min="11" max="11" width="14.42578125" customWidth="1"/>
    <col min="12" max="12" width="14.85546875" customWidth="1"/>
    <col min="13" max="18" width="11.85546875" customWidth="1"/>
    <col min="19" max="19" width="4.5703125" customWidth="1"/>
  </cols>
  <sheetData>
    <row r="5" spans="2:20" ht="20.25">
      <c r="B5" s="348" t="s">
        <v>428</v>
      </c>
      <c r="C5" s="348"/>
      <c r="D5" s="348"/>
      <c r="E5" s="348"/>
      <c r="F5" s="348"/>
      <c r="G5" s="348"/>
      <c r="H5" s="348"/>
      <c r="I5" s="348"/>
      <c r="J5" s="348"/>
      <c r="K5" s="104"/>
      <c r="L5" s="104"/>
      <c r="M5" s="104"/>
    </row>
    <row r="6" spans="2:20" ht="20.25">
      <c r="B6" s="366"/>
      <c r="C6" s="366"/>
      <c r="D6" s="366"/>
      <c r="E6" s="366"/>
      <c r="F6" s="366"/>
      <c r="G6" s="366"/>
      <c r="H6" s="366"/>
      <c r="I6" s="366"/>
      <c r="J6" s="366"/>
    </row>
    <row r="7" spans="2:20" ht="20.25">
      <c r="B7" s="367" t="s">
        <v>429</v>
      </c>
      <c r="C7" s="368" t="s">
        <v>430</v>
      </c>
      <c r="D7" s="369" t="s">
        <v>153</v>
      </c>
      <c r="E7" s="369" t="s">
        <v>154</v>
      </c>
      <c r="F7" s="369" t="s">
        <v>155</v>
      </c>
      <c r="G7" s="369" t="s">
        <v>156</v>
      </c>
      <c r="H7" s="369" t="s">
        <v>157</v>
      </c>
      <c r="I7" s="369" t="s">
        <v>158</v>
      </c>
      <c r="J7" s="369" t="s">
        <v>159</v>
      </c>
      <c r="K7" s="204"/>
      <c r="L7" s="204"/>
      <c r="M7" s="204"/>
      <c r="N7" s="196"/>
      <c r="O7" s="196"/>
      <c r="P7" s="196"/>
      <c r="Q7" s="196"/>
      <c r="R7" s="196"/>
      <c r="S7" s="196"/>
      <c r="T7" s="196"/>
    </row>
    <row r="8" spans="2:20" ht="20.25">
      <c r="B8" s="370"/>
      <c r="C8" s="371"/>
      <c r="D8" s="372"/>
      <c r="E8" s="372"/>
      <c r="F8" s="372"/>
      <c r="G8" s="372"/>
      <c r="H8" s="372"/>
      <c r="I8" s="372"/>
      <c r="J8" s="372"/>
      <c r="K8" s="202"/>
      <c r="L8" s="202"/>
      <c r="M8" s="202"/>
      <c r="N8" s="196"/>
      <c r="O8" s="196"/>
      <c r="P8" s="196"/>
      <c r="Q8" s="196"/>
      <c r="R8" s="196"/>
      <c r="S8" s="196"/>
      <c r="T8" s="196"/>
    </row>
    <row r="9" spans="2:20" ht="20.25">
      <c r="B9" s="370" t="s">
        <v>431</v>
      </c>
      <c r="C9" s="371"/>
      <c r="D9" s="373">
        <f>'6.Cons Profit &amp; Loss'!B41</f>
        <v>232087.31711550051</v>
      </c>
      <c r="E9" s="373">
        <f>'6.Cons Profit &amp; Loss'!C41</f>
        <v>511155.30670752423</v>
      </c>
      <c r="F9" s="373">
        <f>'6.Cons Profit &amp; Loss'!D41</f>
        <v>1162937.038670511</v>
      </c>
      <c r="G9" s="373">
        <f>'6.Cons Profit &amp; Loss'!E41</f>
        <v>1652405.0575081103</v>
      </c>
      <c r="H9" s="373">
        <f>'6.Cons Profit &amp; Loss'!F41</f>
        <v>2099935.5358819845</v>
      </c>
      <c r="I9" s="373">
        <f>'6.Cons Profit &amp; Loss'!G41</f>
        <v>2567266.1491183876</v>
      </c>
      <c r="J9" s="373">
        <f>'6.Cons Profit &amp; Loss'!H41</f>
        <v>2982507.6073764125</v>
      </c>
      <c r="K9" s="197"/>
      <c r="L9" s="197"/>
      <c r="M9" s="197"/>
      <c r="N9" s="196"/>
      <c r="O9" s="196"/>
      <c r="P9" s="196"/>
      <c r="Q9" s="196"/>
      <c r="R9" s="196"/>
      <c r="S9" s="196"/>
      <c r="T9" s="196"/>
    </row>
    <row r="10" spans="2:20" ht="20.25">
      <c r="B10" s="370"/>
      <c r="C10" s="371"/>
      <c r="D10" s="373"/>
      <c r="E10" s="373"/>
      <c r="F10" s="373"/>
      <c r="G10" s="373"/>
      <c r="H10" s="373"/>
      <c r="I10" s="373"/>
      <c r="J10" s="373"/>
      <c r="K10" s="197"/>
      <c r="L10" s="197"/>
      <c r="M10" s="197"/>
      <c r="N10" s="196"/>
      <c r="O10" s="196"/>
      <c r="P10" s="196"/>
      <c r="Q10" s="196"/>
      <c r="R10" s="196"/>
      <c r="S10" s="196"/>
      <c r="T10" s="196"/>
    </row>
    <row r="11" spans="2:20" ht="20.25">
      <c r="B11" s="370" t="s">
        <v>473</v>
      </c>
      <c r="C11" s="374"/>
      <c r="D11" s="373">
        <f>'6.Cons Profit &amp; Loss'!B32</f>
        <v>1744584.676</v>
      </c>
      <c r="E11" s="373">
        <f>'6.Cons Profit &amp; Loss'!C32</f>
        <v>1744584.676</v>
      </c>
      <c r="F11" s="373">
        <f>'6.Cons Profit &amp; Loss'!D32</f>
        <v>1744584.676</v>
      </c>
      <c r="G11" s="373">
        <f>'6.Cons Profit &amp; Loss'!E32</f>
        <v>1744584.676</v>
      </c>
      <c r="H11" s="373">
        <f>'6.Cons Profit &amp; Loss'!F32</f>
        <v>1744584.676</v>
      </c>
      <c r="I11" s="373">
        <f>'6.Cons Profit &amp; Loss'!G32</f>
        <v>1744584.676</v>
      </c>
      <c r="J11" s="373">
        <f>'6.Cons Profit &amp; Loss'!H32</f>
        <v>1744584.676</v>
      </c>
      <c r="K11" s="197"/>
      <c r="L11" s="197"/>
      <c r="M11" s="197"/>
      <c r="N11" s="196"/>
      <c r="O11" s="196"/>
      <c r="P11" s="196"/>
      <c r="Q11" s="196"/>
      <c r="R11" s="196"/>
      <c r="S11" s="196"/>
      <c r="T11" s="196"/>
    </row>
    <row r="12" spans="2:20" ht="20.25">
      <c r="B12" s="370" t="s">
        <v>432</v>
      </c>
      <c r="C12" s="371"/>
      <c r="D12" s="373">
        <f>'6.Cons Profit &amp; Loss'!B33</f>
        <v>100000</v>
      </c>
      <c r="E12" s="373">
        <f>'6.Cons Profit &amp; Loss'!C33</f>
        <v>100000</v>
      </c>
      <c r="F12" s="373">
        <f>'6.Cons Profit &amp; Loss'!D33</f>
        <v>100000</v>
      </c>
      <c r="G12" s="373">
        <f>'6.Cons Profit &amp; Loss'!E33</f>
        <v>100000</v>
      </c>
      <c r="H12" s="373">
        <f>'6.Cons Profit &amp; Loss'!F33</f>
        <v>100000</v>
      </c>
      <c r="I12" s="373">
        <f>'6.Cons Profit &amp; Loss'!G33</f>
        <v>0</v>
      </c>
      <c r="J12" s="373">
        <f>'6.Cons Profit &amp; Loss'!H33</f>
        <v>0</v>
      </c>
      <c r="K12" s="197"/>
      <c r="L12" s="197"/>
      <c r="M12" s="197"/>
      <c r="N12" s="196"/>
      <c r="O12" s="196"/>
      <c r="P12" s="196"/>
      <c r="Q12" s="196"/>
      <c r="R12" s="196"/>
      <c r="S12" s="196"/>
      <c r="T12" s="196"/>
    </row>
    <row r="13" spans="2:20" ht="20.25">
      <c r="B13" s="370"/>
      <c r="C13" s="371"/>
      <c r="D13" s="372"/>
      <c r="E13" s="372"/>
      <c r="F13" s="372"/>
      <c r="G13" s="372"/>
      <c r="H13" s="372"/>
      <c r="I13" s="372"/>
      <c r="J13" s="372"/>
      <c r="K13" s="202"/>
      <c r="L13" s="202"/>
      <c r="M13" s="202"/>
      <c r="N13" s="196"/>
      <c r="O13" s="196"/>
      <c r="P13" s="196"/>
      <c r="Q13" s="196"/>
      <c r="R13" s="196"/>
      <c r="S13" s="196"/>
      <c r="T13" s="196"/>
    </row>
    <row r="14" spans="2:20" ht="20.25">
      <c r="B14" s="370" t="s">
        <v>433</v>
      </c>
      <c r="C14" s="371"/>
      <c r="D14" s="373">
        <f t="shared" ref="D14:J14" si="0">SUM(D9:D12)</f>
        <v>2076671.9931155005</v>
      </c>
      <c r="E14" s="373">
        <f t="shared" si="0"/>
        <v>2355739.9827075242</v>
      </c>
      <c r="F14" s="373">
        <f t="shared" si="0"/>
        <v>3007521.714670511</v>
      </c>
      <c r="G14" s="373">
        <f t="shared" si="0"/>
        <v>3496989.73350811</v>
      </c>
      <c r="H14" s="373">
        <f t="shared" si="0"/>
        <v>3944520.2118819845</v>
      </c>
      <c r="I14" s="373">
        <f t="shared" si="0"/>
        <v>4311850.8251183871</v>
      </c>
      <c r="J14" s="373">
        <f t="shared" si="0"/>
        <v>4727092.2833764125</v>
      </c>
      <c r="K14" s="197"/>
      <c r="L14" s="197"/>
      <c r="M14" s="197"/>
      <c r="N14" s="196"/>
      <c r="O14" s="196"/>
      <c r="P14" s="196"/>
      <c r="Q14" s="196"/>
      <c r="R14" s="196"/>
      <c r="S14" s="196"/>
      <c r="T14" s="196"/>
    </row>
    <row r="15" spans="2:20" ht="20.25">
      <c r="B15" s="370" t="s">
        <v>434</v>
      </c>
      <c r="C15" s="375">
        <f>-'1.Project Cost and MOF'!D12+'1.Project Cost and MOF'!E19</f>
        <v>-15634748.234424286</v>
      </c>
      <c r="D15" s="373">
        <f t="shared" ref="D15:J15" si="1">D14</f>
        <v>2076671.9931155005</v>
      </c>
      <c r="E15" s="373">
        <f t="shared" si="1"/>
        <v>2355739.9827075242</v>
      </c>
      <c r="F15" s="373">
        <f t="shared" si="1"/>
        <v>3007521.714670511</v>
      </c>
      <c r="G15" s="373">
        <f t="shared" si="1"/>
        <v>3496989.73350811</v>
      </c>
      <c r="H15" s="373">
        <f t="shared" si="1"/>
        <v>3944520.2118819845</v>
      </c>
      <c r="I15" s="373">
        <f t="shared" si="1"/>
        <v>4311850.8251183871</v>
      </c>
      <c r="J15" s="373">
        <f t="shared" si="1"/>
        <v>4727092.2833764125</v>
      </c>
      <c r="K15" s="197"/>
      <c r="L15" s="197"/>
      <c r="M15" s="197"/>
      <c r="N15" s="197"/>
      <c r="O15" s="197"/>
      <c r="P15" s="197"/>
      <c r="Q15" s="197"/>
      <c r="R15" s="197"/>
      <c r="S15" s="196"/>
      <c r="T15" s="196"/>
    </row>
    <row r="16" spans="2:20" ht="20.25">
      <c r="B16" s="370" t="s">
        <v>435</v>
      </c>
      <c r="C16" s="376">
        <f>IRR(C15:J15)</f>
        <v>0.10263844921225695</v>
      </c>
      <c r="D16" s="373"/>
      <c r="E16" s="373"/>
      <c r="F16" s="373"/>
      <c r="G16" s="373"/>
      <c r="H16" s="373"/>
      <c r="I16" s="373"/>
      <c r="J16" s="373"/>
      <c r="K16" s="197"/>
      <c r="L16" s="197"/>
      <c r="M16" s="197"/>
      <c r="N16" s="196"/>
      <c r="O16" s="196"/>
      <c r="P16" s="196"/>
      <c r="Q16" s="196"/>
      <c r="R16" s="196"/>
      <c r="S16" s="196"/>
      <c r="T16" s="196"/>
    </row>
    <row r="17" spans="2:20" ht="20.25">
      <c r="B17" s="370"/>
      <c r="C17" s="371"/>
      <c r="D17" s="372"/>
      <c r="E17" s="372"/>
      <c r="F17" s="372"/>
      <c r="G17" s="372"/>
      <c r="H17" s="372"/>
      <c r="I17" s="372"/>
      <c r="J17" s="372"/>
      <c r="K17" s="202"/>
      <c r="L17" s="202"/>
      <c r="M17" s="202"/>
      <c r="N17" s="196"/>
      <c r="O17" s="196"/>
      <c r="P17" s="196"/>
      <c r="Q17" s="196"/>
      <c r="R17" s="196"/>
      <c r="S17" s="196"/>
      <c r="T17" s="196"/>
    </row>
    <row r="18" spans="2:20" ht="21">
      <c r="B18" s="377" t="s">
        <v>436</v>
      </c>
      <c r="C18" s="378"/>
      <c r="D18" s="379">
        <f>1/(1+$C$16)</f>
        <v>0.90691559025029145</v>
      </c>
      <c r="E18" s="380">
        <f t="shared" ref="E18:J18" si="2">D18/(1+$C$16)</f>
        <v>0.82249588783903449</v>
      </c>
      <c r="F18" s="380">
        <f t="shared" si="2"/>
        <v>0.7459343435979755</v>
      </c>
      <c r="G18" s="380">
        <f t="shared" si="2"/>
        <v>0.67649948551212169</v>
      </c>
      <c r="H18" s="380">
        <f t="shared" si="2"/>
        <v>0.61352793020724428</v>
      </c>
      <c r="I18" s="380">
        <f t="shared" si="2"/>
        <v>0.55641804495894254</v>
      </c>
      <c r="J18" s="380">
        <f t="shared" si="2"/>
        <v>0.50462419966985261</v>
      </c>
      <c r="K18" s="203"/>
      <c r="L18" s="203"/>
      <c r="M18" s="203"/>
      <c r="N18" s="139"/>
      <c r="O18" s="139"/>
      <c r="P18" s="139"/>
      <c r="Q18" s="139"/>
      <c r="R18" s="139"/>
      <c r="S18" s="139"/>
    </row>
    <row r="19" spans="2:20" ht="20.25">
      <c r="B19" s="370" t="s">
        <v>437</v>
      </c>
      <c r="C19" s="371"/>
      <c r="D19" s="373">
        <f t="shared" ref="D19:J19" si="3">D14*D18</f>
        <v>1883366.2063925934</v>
      </c>
      <c r="E19" s="373">
        <f t="shared" si="3"/>
        <v>1937586.4485949369</v>
      </c>
      <c r="F19" s="373">
        <f t="shared" si="3"/>
        <v>2243413.7360894051</v>
      </c>
      <c r="G19" s="373">
        <f t="shared" si="3"/>
        <v>2365711.7555594081</v>
      </c>
      <c r="H19" s="373">
        <f t="shared" si="3"/>
        <v>2420073.3212565947</v>
      </c>
      <c r="I19" s="373">
        <f t="shared" si="3"/>
        <v>2399191.6062669763</v>
      </c>
      <c r="J19" s="373">
        <f t="shared" si="3"/>
        <v>2385405.1602643584</v>
      </c>
      <c r="K19" s="197"/>
      <c r="L19" s="197"/>
      <c r="M19" s="197"/>
    </row>
    <row r="20" spans="2:20" ht="20.25">
      <c r="B20" s="370" t="s">
        <v>438</v>
      </c>
      <c r="C20" s="371"/>
      <c r="D20" s="381">
        <f>SUM(D19:J19)</f>
        <v>15634748.234424274</v>
      </c>
      <c r="E20" s="381"/>
      <c r="F20" s="381"/>
      <c r="G20" s="381"/>
      <c r="H20" s="381"/>
      <c r="I20" s="381"/>
      <c r="J20" s="381"/>
      <c r="K20" s="197"/>
      <c r="L20" s="197"/>
      <c r="M20" s="197"/>
      <c r="N20" s="196"/>
    </row>
    <row r="21" spans="2:20" ht="15.75" customHeight="1">
      <c r="B21" s="370"/>
      <c r="C21" s="370"/>
      <c r="D21" s="382"/>
      <c r="E21" s="382"/>
      <c r="F21" s="382"/>
      <c r="G21" s="382"/>
      <c r="H21" s="382"/>
      <c r="I21" s="382"/>
      <c r="J21" s="383"/>
      <c r="K21" s="196"/>
      <c r="L21" s="196"/>
      <c r="M21" s="196"/>
    </row>
    <row r="22" spans="2:20" ht="15.75" customHeight="1">
      <c r="B22" s="366" t="s">
        <v>439</v>
      </c>
      <c r="C22" s="366"/>
      <c r="D22" s="384">
        <f>-C15</f>
        <v>15634748.234424286</v>
      </c>
      <c r="E22" s="346"/>
      <c r="F22" s="346"/>
      <c r="G22" s="346"/>
      <c r="H22" s="346"/>
      <c r="I22" s="346"/>
      <c r="J22" s="346"/>
    </row>
    <row r="23" spans="2:20" ht="15.75" customHeight="1">
      <c r="B23" s="347"/>
      <c r="C23" s="347"/>
      <c r="D23" s="347"/>
      <c r="E23" s="347"/>
      <c r="F23" s="385">
        <f>D20-D22</f>
        <v>0</v>
      </c>
      <c r="G23" s="347"/>
      <c r="H23" s="347"/>
      <c r="I23" s="347"/>
      <c r="J23" s="347"/>
    </row>
    <row r="24" spans="2:20" ht="29.25" customHeight="1">
      <c r="B24" s="386" t="s">
        <v>440</v>
      </c>
      <c r="C24" s="346"/>
      <c r="D24" s="346"/>
      <c r="E24" s="346"/>
      <c r="F24" s="346"/>
      <c r="G24" s="346"/>
      <c r="H24" s="346"/>
      <c r="I24" s="346"/>
      <c r="J24" s="346"/>
    </row>
    <row r="25" spans="2:20" ht="15.75" customHeight="1">
      <c r="B25" s="347"/>
      <c r="C25" s="347"/>
      <c r="D25" s="347"/>
      <c r="E25" s="347"/>
      <c r="F25" s="347"/>
      <c r="G25" s="347"/>
      <c r="H25" s="347"/>
      <c r="I25" s="347"/>
      <c r="J25" s="347"/>
      <c r="K25" s="139"/>
      <c r="L25" s="139"/>
      <c r="M25" s="139"/>
    </row>
    <row r="26" spans="2:20" ht="15.75" customHeight="1">
      <c r="B26" s="348" t="s">
        <v>441</v>
      </c>
      <c r="C26" s="346"/>
      <c r="D26" s="346"/>
      <c r="E26" s="346"/>
      <c r="F26" s="346"/>
      <c r="G26" s="346"/>
      <c r="H26" s="346"/>
      <c r="I26" s="346"/>
      <c r="J26" s="347"/>
    </row>
    <row r="27" spans="2:20" ht="15.75" customHeight="1">
      <c r="B27" s="347"/>
      <c r="C27" s="347"/>
      <c r="D27" s="347"/>
      <c r="E27" s="347"/>
      <c r="F27" s="347"/>
      <c r="G27" s="347"/>
      <c r="H27" s="347"/>
      <c r="I27" s="347"/>
      <c r="J27" s="347"/>
      <c r="K27" s="139"/>
    </row>
    <row r="28" spans="2:20" ht="15.75" customHeight="1">
      <c r="B28" s="387" t="s">
        <v>150</v>
      </c>
      <c r="C28" s="388" t="s">
        <v>153</v>
      </c>
      <c r="D28" s="388" t="s">
        <v>154</v>
      </c>
      <c r="E28" s="388" t="s">
        <v>155</v>
      </c>
      <c r="F28" s="388" t="s">
        <v>156</v>
      </c>
      <c r="G28" s="388" t="s">
        <v>157</v>
      </c>
      <c r="H28" s="388" t="s">
        <v>158</v>
      </c>
      <c r="I28" s="388" t="s">
        <v>159</v>
      </c>
      <c r="J28" s="347"/>
    </row>
    <row r="29" spans="2:20" ht="15.75" customHeight="1">
      <c r="B29" s="370"/>
      <c r="C29" s="370"/>
      <c r="D29" s="370"/>
      <c r="E29" s="370"/>
      <c r="F29" s="370"/>
      <c r="G29" s="370"/>
      <c r="H29" s="370"/>
      <c r="I29" s="370"/>
      <c r="J29" s="347"/>
    </row>
    <row r="30" spans="2:20" ht="15.75" customHeight="1">
      <c r="B30" s="370" t="s">
        <v>442</v>
      </c>
      <c r="C30" s="370"/>
      <c r="D30" s="370"/>
      <c r="E30" s="370"/>
      <c r="F30" s="370"/>
      <c r="G30" s="370"/>
      <c r="H30" s="370"/>
      <c r="I30" s="370"/>
      <c r="J30" s="347"/>
    </row>
    <row r="31" spans="2:20" ht="15.75" customHeight="1">
      <c r="B31" s="370"/>
      <c r="C31" s="389"/>
      <c r="D31" s="389"/>
      <c r="E31" s="389"/>
      <c r="F31" s="389"/>
      <c r="G31" s="389"/>
      <c r="H31" s="389"/>
      <c r="I31" s="389"/>
      <c r="J31" s="347"/>
    </row>
    <row r="32" spans="2:20" ht="15.75" customHeight="1">
      <c r="B32" s="390" t="str">
        <f>'6.Cons Profit &amp; Loss'!A8</f>
        <v>Faclitiy 1 - Cleaning &amp; Grading</v>
      </c>
      <c r="C32" s="389">
        <f>'6.Cons Profit &amp; Loss'!B8</f>
        <v>180972022.21432498</v>
      </c>
      <c r="D32" s="389">
        <f>'6.Cons Profit &amp; Loss'!C8</f>
        <v>206807527.53978613</v>
      </c>
      <c r="E32" s="389">
        <f>'6.Cons Profit &amp; Loss'!D8</f>
        <v>230066725.77829984</v>
      </c>
      <c r="F32" s="389">
        <f>'6.Cons Profit &amp; Loss'!E8</f>
        <v>254064545.11984849</v>
      </c>
      <c r="G32" s="389">
        <f>'6.Cons Profit &amp; Loss'!F8</f>
        <v>278800985.56443214</v>
      </c>
      <c r="H32" s="389">
        <f>'6.Cons Profit &amp; Loss'!G8</f>
        <v>304276047.11205089</v>
      </c>
      <c r="I32" s="389">
        <f>'6.Cons Profit &amp; Loss'!H8</f>
        <v>330489729.76270461</v>
      </c>
      <c r="J32" s="347"/>
    </row>
    <row r="33" spans="2:10" ht="15.75" customHeight="1">
      <c r="B33" s="390" t="str">
        <f>'6.Cons Profit &amp; Loss'!A9</f>
        <v>Faclitiy 2 - Processing Unit- Dal Mill</v>
      </c>
      <c r="C33" s="389">
        <f>'6.Cons Profit &amp; Loss'!B9</f>
        <v>17949549.319199998</v>
      </c>
      <c r="D33" s="389">
        <f>'6.Cons Profit &amp; Loss'!C9</f>
        <v>20455369.029158402</v>
      </c>
      <c r="E33" s="389">
        <f>'6.Cons Profit &amp; Loss'!D9</f>
        <v>22755424.853116799</v>
      </c>
      <c r="F33" s="389">
        <f>'6.Cons Profit &amp; Loss'!E9</f>
        <v>25128517.990795203</v>
      </c>
      <c r="G33" s="389">
        <f>'6.Cons Profit &amp; Loss'!F9</f>
        <v>27574648.442193598</v>
      </c>
      <c r="H33" s="389">
        <f>'6.Cons Profit &amp; Loss'!G9</f>
        <v>30093816.207312007</v>
      </c>
      <c r="I33" s="389">
        <f>'6.Cons Profit &amp; Loss'!H9</f>
        <v>32686021.286150403</v>
      </c>
      <c r="J33" s="347"/>
    </row>
    <row r="34" spans="2:10" ht="15.75" customHeight="1">
      <c r="B34" s="390" t="str">
        <f>'6.Cons Profit &amp; Loss'!A10</f>
        <v>Faclitiy 3 - Warehouse</v>
      </c>
      <c r="C34" s="389">
        <f>'6.Cons Profit &amp; Loss'!B10</f>
        <v>1920000</v>
      </c>
      <c r="D34" s="389">
        <f>'6.Cons Profit &amp; Loss'!C10</f>
        <v>2080800.0000000005</v>
      </c>
      <c r="E34" s="389">
        <f>'6.Cons Profit &amp; Loss'!D10</f>
        <v>2246400.0000000005</v>
      </c>
      <c r="F34" s="389">
        <f>'6.Cons Profit &amp; Loss'!E10</f>
        <v>2416800.0000000009</v>
      </c>
      <c r="G34" s="389">
        <f>'6.Cons Profit &amp; Loss'!F10</f>
        <v>2592000.0000000014</v>
      </c>
      <c r="H34" s="389">
        <f>'6.Cons Profit &amp; Loss'!G10</f>
        <v>2640000.0000000014</v>
      </c>
      <c r="I34" s="389">
        <f>'6.Cons Profit &amp; Loss'!H10</f>
        <v>2688000.0000000014</v>
      </c>
      <c r="J34" s="347"/>
    </row>
    <row r="35" spans="2:10" ht="15.75" customHeight="1">
      <c r="B35" s="390"/>
      <c r="C35" s="390"/>
      <c r="D35" s="390"/>
      <c r="E35" s="390"/>
      <c r="F35" s="390"/>
      <c r="G35" s="390"/>
      <c r="H35" s="390"/>
      <c r="I35" s="390"/>
      <c r="J35" s="347"/>
    </row>
    <row r="36" spans="2:10" ht="15.75" customHeight="1">
      <c r="B36" s="370" t="s">
        <v>443</v>
      </c>
      <c r="C36" s="389">
        <f t="shared" ref="C36:I36" si="4">SUM(C32:C35)</f>
        <v>200841571.53352499</v>
      </c>
      <c r="D36" s="389">
        <f t="shared" si="4"/>
        <v>229343696.56894454</v>
      </c>
      <c r="E36" s="389">
        <f t="shared" si="4"/>
        <v>255068550.63141665</v>
      </c>
      <c r="F36" s="389">
        <f t="shared" si="4"/>
        <v>281609863.11064368</v>
      </c>
      <c r="G36" s="389">
        <f t="shared" si="4"/>
        <v>308967634.00662577</v>
      </c>
      <c r="H36" s="389">
        <f t="shared" si="4"/>
        <v>337009863.31936288</v>
      </c>
      <c r="I36" s="389">
        <f t="shared" si="4"/>
        <v>365863751.04885501</v>
      </c>
      <c r="J36" s="347"/>
    </row>
    <row r="37" spans="2:10" ht="15.75" customHeight="1">
      <c r="B37" s="370"/>
      <c r="C37" s="389"/>
      <c r="D37" s="389"/>
      <c r="E37" s="389"/>
      <c r="F37" s="389"/>
      <c r="G37" s="389"/>
      <c r="H37" s="389"/>
      <c r="I37" s="389"/>
      <c r="J37" s="347"/>
    </row>
    <row r="38" spans="2:10" ht="15.75" customHeight="1">
      <c r="B38" s="370" t="s">
        <v>444</v>
      </c>
      <c r="C38" s="389">
        <f>'6.Cons Profit &amp; Loss'!B19</f>
        <v>195931415.29298067</v>
      </c>
      <c r="D38" s="389">
        <f>'6.Cons Profit &amp; Loss'!C19</f>
        <v>224214337.30223471</v>
      </c>
      <c r="E38" s="389">
        <f>'6.Cons Profit &amp; Loss'!D19</f>
        <v>249365563.2537269</v>
      </c>
      <c r="F38" s="389">
        <f>'6.Cons Profit &amp; Loss'!E19</f>
        <v>275304508.31933045</v>
      </c>
      <c r="G38" s="389">
        <f>'6.Cons Profit &amp; Loss'!F19</f>
        <v>302040233.21933758</v>
      </c>
      <c r="H38" s="389">
        <f>'6.Cons Profit &amp; Loss'!G19</f>
        <v>329572737.95374799</v>
      </c>
      <c r="I38" s="389">
        <f>'6.Cons Profit &amp; Loss'!H19</f>
        <v>357902022.52256191</v>
      </c>
      <c r="J38" s="347"/>
    </row>
    <row r="39" spans="2:10" ht="15.75" customHeight="1">
      <c r="B39" s="370"/>
      <c r="C39" s="389"/>
      <c r="D39" s="389"/>
      <c r="E39" s="389"/>
      <c r="F39" s="389"/>
      <c r="G39" s="389"/>
      <c r="H39" s="389"/>
      <c r="I39" s="389"/>
      <c r="J39" s="347"/>
    </row>
    <row r="40" spans="2:10" ht="15.75" customHeight="1">
      <c r="B40" s="391" t="s">
        <v>445</v>
      </c>
      <c r="C40" s="392">
        <f t="shared" ref="C40:I40" si="5">C36-C38</f>
        <v>4910156.2405443192</v>
      </c>
      <c r="D40" s="392">
        <f t="shared" si="5"/>
        <v>5129359.2667098343</v>
      </c>
      <c r="E40" s="392">
        <f t="shared" si="5"/>
        <v>5702987.377689749</v>
      </c>
      <c r="F40" s="392">
        <f t="shared" si="5"/>
        <v>6305354.791313231</v>
      </c>
      <c r="G40" s="392">
        <f t="shared" si="5"/>
        <v>6927400.7872881889</v>
      </c>
      <c r="H40" s="392">
        <f t="shared" si="5"/>
        <v>7437125.3656148911</v>
      </c>
      <c r="I40" s="392">
        <f t="shared" si="5"/>
        <v>7961728.5262930989</v>
      </c>
      <c r="J40" s="347"/>
    </row>
    <row r="41" spans="2:10" ht="15.75" customHeight="1">
      <c r="B41" s="370"/>
      <c r="C41" s="389"/>
      <c r="D41" s="389"/>
      <c r="E41" s="389"/>
      <c r="F41" s="389"/>
      <c r="G41" s="389"/>
      <c r="H41" s="389"/>
      <c r="I41" s="389"/>
      <c r="J41" s="347"/>
    </row>
    <row r="42" spans="2:10" ht="15.75" customHeight="1">
      <c r="B42" s="391" t="s">
        <v>446</v>
      </c>
      <c r="C42" s="392">
        <f>'6.Cons Profit &amp; Loss'!B26+'6.Cons Profit &amp; Loss'!B32+'6.Cons Profit &amp; Loss'!B33</f>
        <v>3263584.676</v>
      </c>
      <c r="D42" s="392">
        <f>'6.Cons Profit &amp; Loss'!C26+'6.Cons Profit &amp; Loss'!C32+'6.Cons Profit &amp; Loss'!C33</f>
        <v>3313654.676</v>
      </c>
      <c r="E42" s="392">
        <f>'6.Cons Profit &amp; Loss'!D26+'6.Cons Profit &amp; Loss'!D32+'6.Cons Profit &amp; Loss'!D33</f>
        <v>3365532.176</v>
      </c>
      <c r="F42" s="392">
        <f>'6.Cons Profit &amp; Loss'!E26+'6.Cons Profit &amp; Loss'!E32+'6.Cons Profit &amp; Loss'!E33</f>
        <v>3419307.551</v>
      </c>
      <c r="G42" s="392">
        <f>'6.Cons Profit &amp; Loss'!F26+'6.Cons Profit &amp; Loss'!F32+'6.Cons Profit &amp; Loss'!F33</f>
        <v>3475075.6947500003</v>
      </c>
      <c r="H42" s="392">
        <f>'6.Cons Profit &amp; Loss'!G26+'6.Cons Profit &amp; Loss'!G32+'6.Cons Profit &amp; Loss'!G33</f>
        <v>3432936.2456875001</v>
      </c>
      <c r="I42" s="392">
        <f>'6.Cons Profit &amp; Loss'!H26+'6.Cons Profit &amp; Loss'!H32+'6.Cons Profit &amp; Loss'!H33</f>
        <v>3492993.8241718756</v>
      </c>
      <c r="J42" s="347"/>
    </row>
    <row r="43" spans="2:10" ht="15.75" customHeight="1">
      <c r="B43" s="370"/>
      <c r="C43" s="370"/>
      <c r="D43" s="370"/>
      <c r="E43" s="370"/>
      <c r="F43" s="370"/>
      <c r="G43" s="370"/>
      <c r="H43" s="370"/>
      <c r="I43" s="370"/>
      <c r="J43" s="347"/>
    </row>
    <row r="44" spans="2:10" ht="15.75" customHeight="1">
      <c r="B44" s="370" t="s">
        <v>447</v>
      </c>
      <c r="C44" s="393">
        <f t="shared" ref="C44:I44" si="6">C42/C40</f>
        <v>0.66466004667057454</v>
      </c>
      <c r="D44" s="393">
        <f t="shared" si="6"/>
        <v>0.64601727110557883</v>
      </c>
      <c r="E44" s="393">
        <f t="shared" si="6"/>
        <v>0.59013495087961421</v>
      </c>
      <c r="F44" s="393">
        <f t="shared" si="6"/>
        <v>0.54228630492144803</v>
      </c>
      <c r="G44" s="393">
        <f t="shared" si="6"/>
        <v>0.50164207347823442</v>
      </c>
      <c r="H44" s="393">
        <f t="shared" si="6"/>
        <v>0.46159451090598497</v>
      </c>
      <c r="I44" s="393">
        <f t="shared" si="6"/>
        <v>0.43872305023167857</v>
      </c>
      <c r="J44" s="347"/>
    </row>
    <row r="45" spans="2:10" ht="15.75" customHeight="1">
      <c r="B45" s="366"/>
      <c r="C45" s="394"/>
      <c r="D45" s="394"/>
      <c r="E45" s="394"/>
      <c r="F45" s="394"/>
      <c r="G45" s="394"/>
      <c r="H45" s="394"/>
      <c r="I45" s="394"/>
      <c r="J45" s="347"/>
    </row>
    <row r="46" spans="2:10" ht="15.75" customHeight="1">
      <c r="B46" s="395" t="s">
        <v>448</v>
      </c>
      <c r="C46" s="396">
        <f>AVERAGE(C44:I44)</f>
        <v>0.54929402974187336</v>
      </c>
      <c r="D46" s="366"/>
      <c r="E46" s="366"/>
      <c r="F46" s="366"/>
      <c r="G46" s="366"/>
      <c r="H46" s="366"/>
      <c r="I46" s="366"/>
      <c r="J46" s="347"/>
    </row>
    <row r="47" spans="2:10" ht="15.75" customHeight="1">
      <c r="B47" s="347"/>
      <c r="C47" s="347"/>
      <c r="D47" s="347"/>
      <c r="E47" s="347"/>
      <c r="F47" s="347"/>
      <c r="G47" s="347"/>
      <c r="H47" s="347"/>
      <c r="I47" s="347"/>
      <c r="J47" s="347"/>
    </row>
    <row r="48" spans="2:10" ht="41.25" customHeight="1">
      <c r="B48" s="397" t="s">
        <v>449</v>
      </c>
      <c r="C48" s="346"/>
      <c r="D48" s="346"/>
      <c r="E48" s="346"/>
      <c r="F48" s="346"/>
      <c r="G48" s="346"/>
      <c r="H48" s="346"/>
      <c r="I48" s="346"/>
      <c r="J48" s="346"/>
    </row>
    <row r="49" spans="2:12" ht="15.75" customHeight="1">
      <c r="B49" s="347"/>
      <c r="C49" s="347"/>
      <c r="D49" s="347"/>
      <c r="E49" s="347"/>
      <c r="F49" s="347"/>
      <c r="G49" s="347"/>
      <c r="H49" s="347"/>
      <c r="I49" s="347"/>
      <c r="J49" s="347"/>
    </row>
    <row r="50" spans="2:12" ht="15.75" customHeight="1">
      <c r="B50" s="347"/>
      <c r="C50" s="347"/>
      <c r="D50" s="347"/>
      <c r="E50" s="347"/>
      <c r="F50" s="347"/>
      <c r="G50" s="347"/>
      <c r="H50" s="347"/>
      <c r="I50" s="347"/>
      <c r="J50" s="347"/>
    </row>
    <row r="51" spans="2:12" ht="15.75" customHeight="1">
      <c r="B51" s="348" t="s">
        <v>450</v>
      </c>
      <c r="C51" s="348"/>
      <c r="D51" s="348"/>
      <c r="E51" s="348"/>
      <c r="F51" s="348"/>
      <c r="G51" s="348"/>
      <c r="H51" s="348"/>
      <c r="I51" s="348"/>
      <c r="J51" s="348"/>
      <c r="K51" s="104"/>
      <c r="L51" s="104"/>
    </row>
    <row r="52" spans="2:12" ht="15.75" customHeight="1">
      <c r="B52" s="347"/>
      <c r="C52" s="347"/>
      <c r="D52" s="347"/>
      <c r="E52" s="347"/>
      <c r="F52" s="347"/>
      <c r="G52" s="347"/>
      <c r="H52" s="347"/>
      <c r="I52" s="347"/>
      <c r="J52" s="347"/>
    </row>
    <row r="53" spans="2:12" ht="15.75" customHeight="1">
      <c r="B53" s="398" t="s">
        <v>429</v>
      </c>
      <c r="C53" s="399" t="s">
        <v>153</v>
      </c>
      <c r="D53" s="399" t="s">
        <v>154</v>
      </c>
      <c r="E53" s="399" t="s">
        <v>155</v>
      </c>
      <c r="F53" s="399" t="s">
        <v>156</v>
      </c>
      <c r="G53" s="399" t="s">
        <v>157</v>
      </c>
      <c r="H53" s="400" t="s">
        <v>158</v>
      </c>
      <c r="I53" s="401" t="s">
        <v>159</v>
      </c>
      <c r="J53" s="402"/>
      <c r="K53" s="206"/>
      <c r="L53" s="206"/>
    </row>
    <row r="54" spans="2:12" ht="15.75" customHeight="1">
      <c r="B54" s="370"/>
      <c r="C54" s="370"/>
      <c r="D54" s="370"/>
      <c r="E54" s="370"/>
      <c r="F54" s="370"/>
      <c r="G54" s="370"/>
      <c r="H54" s="371"/>
      <c r="I54" s="372"/>
      <c r="J54" s="403"/>
      <c r="K54" s="202"/>
      <c r="L54" s="202"/>
    </row>
    <row r="55" spans="2:12" ht="15.75" customHeight="1">
      <c r="B55" s="370" t="s">
        <v>451</v>
      </c>
      <c r="C55" s="404">
        <f>'6.Cons Profit &amp; Loss'!B41</f>
        <v>232087.31711550051</v>
      </c>
      <c r="D55" s="404">
        <f>'6.Cons Profit &amp; Loss'!C41</f>
        <v>511155.30670752423</v>
      </c>
      <c r="E55" s="404">
        <f>'6.Cons Profit &amp; Loss'!D41</f>
        <v>1162937.038670511</v>
      </c>
      <c r="F55" s="404">
        <f>'6.Cons Profit &amp; Loss'!E41</f>
        <v>1652405.0575081103</v>
      </c>
      <c r="G55" s="404">
        <f>'6.Cons Profit &amp; Loss'!F41</f>
        <v>2099935.5358819845</v>
      </c>
      <c r="H55" s="405">
        <f>'6.Cons Profit &amp; Loss'!G41</f>
        <v>2567266.1491183876</v>
      </c>
      <c r="I55" s="406">
        <f>'6.Cons Profit &amp; Loss'!H41</f>
        <v>2982507.6073764125</v>
      </c>
      <c r="J55" s="407"/>
      <c r="K55" s="207"/>
      <c r="L55" s="207"/>
    </row>
    <row r="56" spans="2:12" ht="15.75" customHeight="1">
      <c r="B56" s="370"/>
      <c r="C56" s="404"/>
      <c r="D56" s="404"/>
      <c r="E56" s="404"/>
      <c r="F56" s="404"/>
      <c r="G56" s="404"/>
      <c r="H56" s="405"/>
      <c r="I56" s="406"/>
      <c r="J56" s="407"/>
      <c r="K56" s="207"/>
      <c r="L56" s="207"/>
    </row>
    <row r="57" spans="2:12" ht="15.75" customHeight="1">
      <c r="B57" s="370" t="s">
        <v>452</v>
      </c>
      <c r="C57" s="404">
        <f>'6.Cons Profit &amp; Loss'!B32</f>
        <v>1744584.676</v>
      </c>
      <c r="D57" s="404">
        <f>'6.Cons Profit &amp; Loss'!C32</f>
        <v>1744584.676</v>
      </c>
      <c r="E57" s="404">
        <f>'6.Cons Profit &amp; Loss'!D32</f>
        <v>1744584.676</v>
      </c>
      <c r="F57" s="404">
        <f>'6.Cons Profit &amp; Loss'!E32</f>
        <v>1744584.676</v>
      </c>
      <c r="G57" s="404">
        <f>'6.Cons Profit &amp; Loss'!F32</f>
        <v>1744584.676</v>
      </c>
      <c r="H57" s="405">
        <f>'6.Cons Profit &amp; Loss'!G32</f>
        <v>1744584.676</v>
      </c>
      <c r="I57" s="406">
        <f>'6.Cons Profit &amp; Loss'!H32</f>
        <v>1744584.676</v>
      </c>
      <c r="J57" s="407"/>
      <c r="K57" s="207"/>
      <c r="L57" s="207"/>
    </row>
    <row r="58" spans="2:12" ht="15.75" customHeight="1">
      <c r="B58" s="357" t="s">
        <v>453</v>
      </c>
      <c r="C58" s="404">
        <f>'6.Cons Profit &amp; Loss'!B33</f>
        <v>100000</v>
      </c>
      <c r="D58" s="404">
        <f>'6.Cons Profit &amp; Loss'!C33</f>
        <v>100000</v>
      </c>
      <c r="E58" s="404">
        <f>'6.Cons Profit &amp; Loss'!D33</f>
        <v>100000</v>
      </c>
      <c r="F58" s="404">
        <f>'6.Cons Profit &amp; Loss'!E33</f>
        <v>100000</v>
      </c>
      <c r="G58" s="404">
        <f>'6.Cons Profit &amp; Loss'!F33</f>
        <v>100000</v>
      </c>
      <c r="H58" s="405">
        <f>'6.Cons Profit &amp; Loss'!G33</f>
        <v>0</v>
      </c>
      <c r="I58" s="406">
        <f>'6.Cons Profit &amp; Loss'!H33</f>
        <v>0</v>
      </c>
      <c r="J58" s="407"/>
      <c r="K58" s="207"/>
      <c r="L58" s="207"/>
    </row>
    <row r="59" spans="2:12" ht="15.75" customHeight="1">
      <c r="B59" s="370"/>
      <c r="C59" s="404"/>
      <c r="D59" s="404"/>
      <c r="E59" s="404"/>
      <c r="F59" s="404"/>
      <c r="G59" s="404"/>
      <c r="H59" s="405"/>
      <c r="I59" s="406"/>
      <c r="J59" s="407"/>
      <c r="K59" s="207"/>
      <c r="L59" s="207"/>
    </row>
    <row r="60" spans="2:12" ht="15.75" customHeight="1">
      <c r="B60" s="370" t="s">
        <v>433</v>
      </c>
      <c r="C60" s="404">
        <f t="shared" ref="C60:I60" si="7">SUM(C55:C58)</f>
        <v>2076671.9931155005</v>
      </c>
      <c r="D60" s="404">
        <f t="shared" si="7"/>
        <v>2355739.9827075242</v>
      </c>
      <c r="E60" s="404">
        <f t="shared" si="7"/>
        <v>3007521.714670511</v>
      </c>
      <c r="F60" s="404">
        <f t="shared" si="7"/>
        <v>3496989.73350811</v>
      </c>
      <c r="G60" s="404">
        <f t="shared" si="7"/>
        <v>3944520.2118819845</v>
      </c>
      <c r="H60" s="405">
        <f t="shared" si="7"/>
        <v>4311850.8251183871</v>
      </c>
      <c r="I60" s="406">
        <f t="shared" si="7"/>
        <v>4727092.2833764125</v>
      </c>
      <c r="J60" s="407"/>
      <c r="K60" s="207"/>
      <c r="L60" s="207"/>
    </row>
    <row r="61" spans="2:12" ht="15.75" customHeight="1">
      <c r="B61" s="370"/>
      <c r="C61" s="370"/>
      <c r="D61" s="370"/>
      <c r="E61" s="370"/>
      <c r="F61" s="370"/>
      <c r="G61" s="370"/>
      <c r="H61" s="371"/>
      <c r="I61" s="372"/>
      <c r="J61" s="403"/>
      <c r="K61" s="202"/>
      <c r="L61" s="202"/>
    </row>
    <row r="62" spans="2:12" ht="15.75" customHeight="1">
      <c r="B62" s="408" t="s">
        <v>454</v>
      </c>
      <c r="C62" s="390">
        <f>1/1.1</f>
        <v>0.90909090909090906</v>
      </c>
      <c r="D62" s="390">
        <f t="shared" ref="D62:I62" si="8">C62/1.1</f>
        <v>0.82644628099173545</v>
      </c>
      <c r="E62" s="390">
        <f t="shared" si="8"/>
        <v>0.75131480090157765</v>
      </c>
      <c r="F62" s="390">
        <f t="shared" si="8"/>
        <v>0.68301345536507052</v>
      </c>
      <c r="G62" s="390">
        <f t="shared" si="8"/>
        <v>0.62092132305915493</v>
      </c>
      <c r="H62" s="409">
        <f t="shared" si="8"/>
        <v>0.56447393005377711</v>
      </c>
      <c r="I62" s="410">
        <f t="shared" si="8"/>
        <v>0.51315811823070645</v>
      </c>
      <c r="J62" s="411"/>
      <c r="K62" s="208"/>
      <c r="L62" s="208"/>
    </row>
    <row r="63" spans="2:12" ht="15.75" customHeight="1">
      <c r="B63" s="370"/>
      <c r="C63" s="370"/>
      <c r="D63" s="370"/>
      <c r="E63" s="370"/>
      <c r="F63" s="370"/>
      <c r="G63" s="370"/>
      <c r="H63" s="371"/>
      <c r="I63" s="372"/>
      <c r="J63" s="403"/>
      <c r="K63" s="202"/>
      <c r="L63" s="202"/>
    </row>
    <row r="64" spans="2:12" ht="15.75" customHeight="1">
      <c r="B64" s="408" t="s">
        <v>455</v>
      </c>
      <c r="C64" s="389">
        <f t="shared" ref="C64:I64" si="9">C60*C62</f>
        <v>1887883.6301050005</v>
      </c>
      <c r="D64" s="389">
        <f t="shared" si="9"/>
        <v>1946892.5476921685</v>
      </c>
      <c r="E64" s="389">
        <f t="shared" si="9"/>
        <v>2259595.5782648465</v>
      </c>
      <c r="F64" s="389">
        <f t="shared" si="9"/>
        <v>2388491.0412595514</v>
      </c>
      <c r="G64" s="389">
        <f t="shared" si="9"/>
        <v>2449236.7087953398</v>
      </c>
      <c r="H64" s="412">
        <f t="shared" si="9"/>
        <v>2433927.3810601975</v>
      </c>
      <c r="I64" s="413">
        <f t="shared" si="9"/>
        <v>2425745.7808403331</v>
      </c>
      <c r="J64" s="414"/>
      <c r="K64" s="205"/>
      <c r="L64" s="205"/>
    </row>
    <row r="65" spans="2:12" ht="15.75" customHeight="1">
      <c r="B65" s="366"/>
      <c r="C65" s="394"/>
      <c r="D65" s="394"/>
      <c r="E65" s="394"/>
      <c r="F65" s="394"/>
      <c r="G65" s="394"/>
      <c r="H65" s="394"/>
      <c r="I65" s="414"/>
      <c r="J65" s="415"/>
      <c r="K65" s="196"/>
      <c r="L65" s="196"/>
    </row>
    <row r="66" spans="2:12" ht="15.75" customHeight="1">
      <c r="B66" s="416" t="s">
        <v>456</v>
      </c>
      <c r="C66" s="394">
        <f>SUM(C64:I64)</f>
        <v>15791772.66801744</v>
      </c>
      <c r="D66" s="394"/>
      <c r="E66" s="394"/>
      <c r="F66" s="394"/>
      <c r="G66" s="394"/>
      <c r="H66" s="394"/>
      <c r="I66" s="394"/>
      <c r="J66" s="347"/>
    </row>
    <row r="67" spans="2:12" ht="15.75" customHeight="1">
      <c r="B67" s="366"/>
      <c r="C67" s="394"/>
      <c r="D67" s="394"/>
      <c r="E67" s="394"/>
      <c r="F67" s="394"/>
      <c r="G67" s="394"/>
      <c r="H67" s="394"/>
      <c r="I67" s="394"/>
      <c r="J67" s="347"/>
    </row>
    <row r="68" spans="2:12" ht="15.75" customHeight="1">
      <c r="B68" s="416" t="s">
        <v>457</v>
      </c>
      <c r="C68" s="394">
        <f>'1.Project Cost and MOF'!D12-'1.Project Cost and MOF'!E19</f>
        <v>15634748.234424286</v>
      </c>
      <c r="D68" s="394"/>
      <c r="E68" s="394"/>
      <c r="F68" s="394"/>
      <c r="G68" s="394"/>
      <c r="H68" s="394"/>
      <c r="I68" s="394"/>
      <c r="J68" s="347"/>
    </row>
    <row r="69" spans="2:12" ht="15.75" customHeight="1">
      <c r="B69" s="366"/>
      <c r="C69" s="417"/>
      <c r="D69" s="366"/>
      <c r="E69" s="366"/>
      <c r="F69" s="366"/>
      <c r="G69" s="366"/>
      <c r="H69" s="366"/>
      <c r="I69" s="366"/>
      <c r="J69" s="347"/>
    </row>
    <row r="70" spans="2:12" ht="15.75" customHeight="1">
      <c r="B70" s="416" t="s">
        <v>458</v>
      </c>
      <c r="C70" s="417">
        <f>C66-C68</f>
        <v>157024.43359315395</v>
      </c>
      <c r="D70" s="366"/>
      <c r="E70" s="366"/>
      <c r="F70" s="366"/>
      <c r="G70" s="366"/>
      <c r="H70" s="366"/>
      <c r="I70" s="366"/>
      <c r="J70" s="347"/>
    </row>
    <row r="71" spans="2:12" ht="15.75" customHeight="1">
      <c r="B71" s="347"/>
      <c r="C71" s="347"/>
      <c r="D71" s="347"/>
      <c r="E71" s="347"/>
      <c r="F71" s="347"/>
      <c r="G71" s="347"/>
      <c r="H71" s="347"/>
      <c r="I71" s="347"/>
      <c r="J71" s="347"/>
    </row>
    <row r="72" spans="2:12" ht="34.5" customHeight="1">
      <c r="B72" s="418" t="s">
        <v>459</v>
      </c>
      <c r="C72" s="346"/>
      <c r="D72" s="346"/>
      <c r="E72" s="346"/>
      <c r="F72" s="346"/>
      <c r="G72" s="346"/>
      <c r="H72" s="346"/>
      <c r="I72" s="346"/>
      <c r="J72" s="346"/>
    </row>
    <row r="73" spans="2:12" ht="34.5" customHeight="1">
      <c r="B73" s="419"/>
      <c r="C73" s="347"/>
      <c r="D73" s="347"/>
      <c r="E73" s="347"/>
      <c r="F73" s="347"/>
      <c r="G73" s="347"/>
      <c r="H73" s="347"/>
      <c r="I73" s="347"/>
      <c r="J73" s="347"/>
    </row>
    <row r="74" spans="2:12" ht="15.75" customHeight="1">
      <c r="B74" s="348" t="s">
        <v>460</v>
      </c>
      <c r="C74" s="346"/>
      <c r="D74" s="346"/>
      <c r="E74" s="346"/>
      <c r="F74" s="346"/>
      <c r="G74" s="346"/>
      <c r="H74" s="346"/>
      <c r="I74" s="346"/>
      <c r="J74" s="347"/>
    </row>
    <row r="75" spans="2:12" ht="15.75" customHeight="1">
      <c r="B75" s="366"/>
      <c r="C75" s="366"/>
      <c r="D75" s="366"/>
      <c r="E75" s="366"/>
      <c r="F75" s="366"/>
      <c r="G75" s="366"/>
      <c r="H75" s="366"/>
      <c r="I75" s="366"/>
      <c r="J75" s="347"/>
    </row>
    <row r="76" spans="2:12" ht="15.75" customHeight="1">
      <c r="B76" s="399" t="s">
        <v>150</v>
      </c>
      <c r="C76" s="399" t="s">
        <v>153</v>
      </c>
      <c r="D76" s="399" t="s">
        <v>154</v>
      </c>
      <c r="E76" s="399" t="s">
        <v>155</v>
      </c>
      <c r="F76" s="399" t="s">
        <v>156</v>
      </c>
      <c r="G76" s="399" t="s">
        <v>157</v>
      </c>
      <c r="H76" s="399" t="s">
        <v>158</v>
      </c>
      <c r="I76" s="399" t="s">
        <v>159</v>
      </c>
      <c r="J76" s="347"/>
    </row>
    <row r="77" spans="2:12" ht="15.75" customHeight="1">
      <c r="B77" s="420"/>
      <c r="C77" s="421"/>
      <c r="D77" s="421"/>
      <c r="E77" s="421"/>
      <c r="F77" s="421"/>
      <c r="G77" s="421"/>
      <c r="H77" s="421"/>
      <c r="I77" s="421"/>
      <c r="J77" s="347"/>
    </row>
    <row r="78" spans="2:12" ht="15.75" customHeight="1">
      <c r="B78" s="391" t="s">
        <v>461</v>
      </c>
      <c r="C78" s="389">
        <f>'6.Cons Profit &amp; Loss'!B41</f>
        <v>232087.31711550051</v>
      </c>
      <c r="D78" s="389">
        <f>'6.Cons Profit &amp; Loss'!C41</f>
        <v>511155.30670752423</v>
      </c>
      <c r="E78" s="389">
        <f>'6.Cons Profit &amp; Loss'!D41</f>
        <v>1162937.038670511</v>
      </c>
      <c r="F78" s="389">
        <f>'6.Cons Profit &amp; Loss'!E41</f>
        <v>1652405.0575081103</v>
      </c>
      <c r="G78" s="389">
        <f>'6.Cons Profit &amp; Loss'!F41</f>
        <v>2099935.5358819845</v>
      </c>
      <c r="H78" s="389">
        <f>'6.Cons Profit &amp; Loss'!G41</f>
        <v>2567266.1491183876</v>
      </c>
      <c r="I78" s="389">
        <f>'6.Cons Profit &amp; Loss'!H41</f>
        <v>2982507.6073764125</v>
      </c>
      <c r="J78" s="347"/>
    </row>
    <row r="79" spans="2:12" ht="15.75" customHeight="1">
      <c r="B79" s="370"/>
      <c r="C79" s="370"/>
      <c r="D79" s="370"/>
      <c r="E79" s="370"/>
      <c r="F79" s="370"/>
      <c r="G79" s="370"/>
      <c r="H79" s="370"/>
      <c r="I79" s="370"/>
      <c r="J79" s="347"/>
    </row>
    <row r="80" spans="2:12" ht="15.75" customHeight="1">
      <c r="B80" s="391" t="s">
        <v>462</v>
      </c>
      <c r="C80" s="422">
        <f>AVERAGE(C78:I78)</f>
        <v>1601184.8589112046</v>
      </c>
      <c r="D80" s="423"/>
      <c r="E80" s="423"/>
      <c r="F80" s="423"/>
      <c r="G80" s="423"/>
      <c r="H80" s="423"/>
      <c r="I80" s="356"/>
      <c r="J80" s="347"/>
    </row>
    <row r="81" spans="2:10" ht="15.75" customHeight="1">
      <c r="B81" s="391" t="s">
        <v>463</v>
      </c>
      <c r="C81" s="422">
        <f>+'1.Project Cost and MOF'!E21+'1.Project Cost and MOF'!E20</f>
        <v>15634748.234424286</v>
      </c>
      <c r="D81" s="424"/>
      <c r="E81" s="424"/>
      <c r="F81" s="424"/>
      <c r="G81" s="424"/>
      <c r="H81" s="424"/>
      <c r="I81" s="425"/>
      <c r="J81" s="347"/>
    </row>
    <row r="82" spans="2:10" ht="15.75" customHeight="1">
      <c r="B82" s="370"/>
      <c r="C82" s="370"/>
      <c r="D82" s="370"/>
      <c r="E82" s="370"/>
      <c r="F82" s="370"/>
      <c r="G82" s="370"/>
      <c r="H82" s="370"/>
      <c r="I82" s="370"/>
      <c r="J82" s="347"/>
    </row>
    <row r="83" spans="2:10" ht="15.75" customHeight="1">
      <c r="B83" s="426" t="s">
        <v>464</v>
      </c>
      <c r="C83" s="427">
        <f>C80/C81</f>
        <v>0.10241193749354702</v>
      </c>
      <c r="D83" s="423"/>
      <c r="E83" s="423"/>
      <c r="F83" s="423"/>
      <c r="G83" s="423"/>
      <c r="H83" s="423"/>
      <c r="I83" s="356"/>
      <c r="J83" s="347"/>
    </row>
    <row r="84" spans="2:10" ht="15.75" customHeight="1">
      <c r="B84" s="347"/>
      <c r="C84" s="347"/>
      <c r="D84" s="347"/>
      <c r="E84" s="347"/>
      <c r="F84" s="347"/>
      <c r="G84" s="347"/>
      <c r="H84" s="347"/>
      <c r="I84" s="347"/>
      <c r="J84" s="347"/>
    </row>
    <row r="85" spans="2:10" ht="15.75" customHeight="1">
      <c r="B85" s="428" t="s">
        <v>465</v>
      </c>
      <c r="C85" s="346"/>
      <c r="D85" s="346"/>
      <c r="E85" s="346"/>
      <c r="F85" s="346"/>
      <c r="G85" s="346"/>
      <c r="H85" s="346"/>
      <c r="I85" s="346"/>
      <c r="J85" s="347"/>
    </row>
    <row r="86" spans="2:10" ht="15.75" customHeight="1">
      <c r="B86" s="347"/>
      <c r="C86" s="347"/>
      <c r="D86" s="347"/>
      <c r="E86" s="347"/>
      <c r="F86" s="347"/>
      <c r="G86" s="347"/>
      <c r="H86" s="347"/>
      <c r="I86" s="347"/>
      <c r="J86" s="347"/>
    </row>
    <row r="87" spans="2:10" ht="15.75" customHeight="1">
      <c r="B87" s="348" t="s">
        <v>466</v>
      </c>
      <c r="C87" s="346"/>
      <c r="D87" s="346"/>
      <c r="E87" s="346"/>
      <c r="F87" s="346"/>
      <c r="G87" s="346"/>
      <c r="H87" s="346"/>
      <c r="I87" s="346"/>
      <c r="J87" s="346"/>
    </row>
    <row r="88" spans="2:10" ht="15.75" customHeight="1">
      <c r="B88" s="347"/>
      <c r="C88" s="347"/>
      <c r="D88" s="347"/>
      <c r="E88" s="347"/>
      <c r="F88" s="347"/>
      <c r="G88" s="347"/>
      <c r="H88" s="347"/>
      <c r="I88" s="347"/>
      <c r="J88" s="347"/>
    </row>
    <row r="89" spans="2:10" ht="15.75" customHeight="1">
      <c r="B89" s="388" t="s">
        <v>150</v>
      </c>
      <c r="C89" s="388" t="s">
        <v>430</v>
      </c>
      <c r="D89" s="388" t="s">
        <v>153</v>
      </c>
      <c r="E89" s="388" t="s">
        <v>154</v>
      </c>
      <c r="F89" s="388" t="s">
        <v>155</v>
      </c>
      <c r="G89" s="388" t="s">
        <v>156</v>
      </c>
      <c r="H89" s="388" t="s">
        <v>157</v>
      </c>
      <c r="I89" s="388" t="s">
        <v>158</v>
      </c>
      <c r="J89" s="388" t="s">
        <v>159</v>
      </c>
    </row>
    <row r="90" spans="2:10" ht="15.75" customHeight="1">
      <c r="B90" s="420"/>
      <c r="C90" s="420"/>
      <c r="D90" s="421"/>
      <c r="E90" s="421"/>
      <c r="F90" s="421"/>
      <c r="G90" s="421"/>
      <c r="H90" s="421"/>
      <c r="I90" s="421"/>
      <c r="J90" s="421"/>
    </row>
    <row r="91" spans="2:10" ht="15.75" customHeight="1">
      <c r="B91" s="429" t="s">
        <v>467</v>
      </c>
      <c r="C91" s="430">
        <f>'1.Project Cost and MOF'!D12-'1.Project Cost and MOF'!E19</f>
        <v>15634748.234424286</v>
      </c>
      <c r="D91" s="421"/>
      <c r="E91" s="421"/>
      <c r="F91" s="421"/>
      <c r="G91" s="421"/>
      <c r="H91" s="421"/>
      <c r="I91" s="421"/>
      <c r="J91" s="421"/>
    </row>
    <row r="92" spans="2:10" ht="15.75" customHeight="1">
      <c r="B92" s="429" t="str">
        <f>B55</f>
        <v>Profit after Tax &amp; Dividend</v>
      </c>
      <c r="C92" s="429"/>
      <c r="D92" s="431">
        <f>'6.Cons Profit &amp; Loss'!B41</f>
        <v>232087.31711550051</v>
      </c>
      <c r="E92" s="431">
        <f>'6.Cons Profit &amp; Loss'!C41</f>
        <v>511155.30670752423</v>
      </c>
      <c r="F92" s="431">
        <f>'6.Cons Profit &amp; Loss'!D41</f>
        <v>1162937.038670511</v>
      </c>
      <c r="G92" s="431">
        <f>'6.Cons Profit &amp; Loss'!E41</f>
        <v>1652405.0575081103</v>
      </c>
      <c r="H92" s="431">
        <f>'6.Cons Profit &amp; Loss'!F41</f>
        <v>2099935.5358819845</v>
      </c>
      <c r="I92" s="431">
        <f>'6.Cons Profit &amp; Loss'!G41</f>
        <v>2567266.1491183876</v>
      </c>
      <c r="J92" s="431">
        <f>'6.Cons Profit &amp; Loss'!H41</f>
        <v>2982507.6073764125</v>
      </c>
    </row>
    <row r="93" spans="2:10" ht="15.75" customHeight="1">
      <c r="B93" s="429" t="str">
        <f t="shared" ref="B93:B94" si="10">B57</f>
        <v>Add: Deprication</v>
      </c>
      <c r="C93" s="429"/>
      <c r="D93" s="431">
        <f>'6.Cons Profit &amp; Loss'!B32</f>
        <v>1744584.676</v>
      </c>
      <c r="E93" s="431">
        <f>'6.Cons Profit &amp; Loss'!C32</f>
        <v>1744584.676</v>
      </c>
      <c r="F93" s="431">
        <f>'6.Cons Profit &amp; Loss'!D32</f>
        <v>1744584.676</v>
      </c>
      <c r="G93" s="431">
        <f>'6.Cons Profit &amp; Loss'!E32</f>
        <v>1744584.676</v>
      </c>
      <c r="H93" s="431">
        <f>'6.Cons Profit &amp; Loss'!F32</f>
        <v>1744584.676</v>
      </c>
      <c r="I93" s="431">
        <f>'6.Cons Profit &amp; Loss'!G32</f>
        <v>1744584.676</v>
      </c>
      <c r="J93" s="431">
        <f>'6.Cons Profit &amp; Loss'!H32</f>
        <v>1744584.676</v>
      </c>
    </row>
    <row r="94" spans="2:10" ht="15.75" customHeight="1">
      <c r="B94" s="429" t="str">
        <f t="shared" si="10"/>
        <v>Add. Preliminary exp Written off</v>
      </c>
      <c r="C94" s="429"/>
      <c r="D94" s="431">
        <f>'6.Cons Profit &amp; Loss'!B33</f>
        <v>100000</v>
      </c>
      <c r="E94" s="431">
        <f>'6.Cons Profit &amp; Loss'!C33</f>
        <v>100000</v>
      </c>
      <c r="F94" s="431">
        <f>'6.Cons Profit &amp; Loss'!D33</f>
        <v>100000</v>
      </c>
      <c r="G94" s="431">
        <f>'6.Cons Profit &amp; Loss'!E33</f>
        <v>100000</v>
      </c>
      <c r="H94" s="431">
        <f>'6.Cons Profit &amp; Loss'!F33</f>
        <v>100000</v>
      </c>
      <c r="I94" s="431">
        <f>'6.Cons Profit &amp; Loss'!G33</f>
        <v>0</v>
      </c>
      <c r="J94" s="431">
        <f>'6.Cons Profit &amp; Loss'!H33</f>
        <v>0</v>
      </c>
    </row>
    <row r="95" spans="2:10" ht="15.75" customHeight="1">
      <c r="B95" s="429" t="str">
        <f>B60</f>
        <v xml:space="preserve">Net Cash Accrual (A)      </v>
      </c>
      <c r="C95" s="429"/>
      <c r="D95" s="431">
        <f t="shared" ref="D95:J95" si="11">SUM(D92:D94)</f>
        <v>2076671.9931155005</v>
      </c>
      <c r="E95" s="431">
        <f t="shared" si="11"/>
        <v>2355739.9827075242</v>
      </c>
      <c r="F95" s="431">
        <f t="shared" si="11"/>
        <v>3007521.714670511</v>
      </c>
      <c r="G95" s="431">
        <f t="shared" si="11"/>
        <v>3496989.73350811</v>
      </c>
      <c r="H95" s="431">
        <f t="shared" si="11"/>
        <v>3944520.2118819845</v>
      </c>
      <c r="I95" s="431">
        <f t="shared" si="11"/>
        <v>4311850.8251183871</v>
      </c>
      <c r="J95" s="431">
        <f t="shared" si="11"/>
        <v>4727092.2833764125</v>
      </c>
    </row>
    <row r="96" spans="2:10" ht="15.75" customHeight="1">
      <c r="B96" s="429" t="s">
        <v>468</v>
      </c>
      <c r="C96" s="432"/>
      <c r="D96" s="433">
        <f>D95-C91</f>
        <v>-13558076.241308786</v>
      </c>
      <c r="E96" s="433">
        <f t="shared" ref="E96:J96" si="12">D96+E95</f>
        <v>-11202336.258601261</v>
      </c>
      <c r="F96" s="433">
        <f t="shared" si="12"/>
        <v>-8194814.5439307503</v>
      </c>
      <c r="G96" s="433">
        <f t="shared" si="12"/>
        <v>-4697824.8104226403</v>
      </c>
      <c r="H96" s="433">
        <f t="shared" si="12"/>
        <v>-753304.5985406558</v>
      </c>
      <c r="I96" s="433">
        <f t="shared" si="12"/>
        <v>3558546.2265777313</v>
      </c>
      <c r="J96" s="433">
        <f t="shared" si="12"/>
        <v>8285638.5099541433</v>
      </c>
    </row>
    <row r="97" spans="2:15" ht="15.75" customHeight="1">
      <c r="B97" s="347"/>
      <c r="C97" s="347"/>
      <c r="D97" s="347"/>
      <c r="E97" s="347"/>
      <c r="F97" s="347"/>
      <c r="G97" s="347"/>
      <c r="H97" s="347"/>
      <c r="I97" s="347"/>
      <c r="J97" s="347"/>
    </row>
    <row r="98" spans="2:15" ht="15.75" customHeight="1">
      <c r="B98" s="434" t="s">
        <v>469</v>
      </c>
      <c r="C98" s="347"/>
      <c r="D98" s="435">
        <f>5+(-H96/I95)</f>
        <v>5.1747056262133029</v>
      </c>
      <c r="E98" s="347"/>
      <c r="F98" s="347"/>
      <c r="G98" s="347"/>
      <c r="H98" s="347"/>
      <c r="I98" s="347"/>
      <c r="J98" s="347"/>
    </row>
    <row r="99" spans="2:15" ht="15.75" customHeight="1">
      <c r="B99" s="347"/>
      <c r="C99" s="347"/>
      <c r="D99" s="347"/>
      <c r="E99" s="347"/>
      <c r="F99" s="347"/>
      <c r="G99" s="347"/>
      <c r="H99" s="347"/>
      <c r="I99" s="347"/>
      <c r="J99" s="347"/>
    </row>
    <row r="100" spans="2:15" ht="15.75" customHeight="1">
      <c r="B100" s="428" t="s">
        <v>470</v>
      </c>
      <c r="C100" s="346"/>
      <c r="D100" s="346"/>
      <c r="E100" s="346"/>
      <c r="F100" s="346"/>
      <c r="G100" s="346"/>
      <c r="H100" s="346"/>
      <c r="I100" s="346"/>
      <c r="J100" s="346"/>
    </row>
    <row r="101" spans="2:15" ht="15.75" customHeight="1">
      <c r="B101" s="347"/>
      <c r="C101" s="347"/>
      <c r="D101" s="347"/>
      <c r="E101" s="347"/>
      <c r="F101" s="347"/>
      <c r="G101" s="347"/>
      <c r="H101" s="347"/>
      <c r="I101" s="347"/>
      <c r="J101" s="347"/>
    </row>
    <row r="102" spans="2:15" ht="15.75" customHeight="1">
      <c r="B102" s="348" t="s">
        <v>471</v>
      </c>
      <c r="C102" s="346"/>
      <c r="D102" s="346"/>
      <c r="E102" s="346"/>
      <c r="F102" s="346"/>
      <c r="G102" s="346"/>
      <c r="H102" s="346"/>
      <c r="I102" s="346"/>
      <c r="J102" s="347"/>
    </row>
    <row r="103" spans="2:15" ht="15.75" customHeight="1">
      <c r="B103" s="347"/>
      <c r="C103" s="347"/>
      <c r="D103" s="347"/>
      <c r="E103" s="347"/>
      <c r="F103" s="347"/>
      <c r="G103" s="347"/>
      <c r="H103" s="347"/>
      <c r="I103" s="347"/>
      <c r="J103" s="347"/>
    </row>
    <row r="104" spans="2:15" ht="15.75" customHeight="1">
      <c r="B104" s="399" t="s">
        <v>150</v>
      </c>
      <c r="C104" s="399" t="s">
        <v>153</v>
      </c>
      <c r="D104" s="399" t="s">
        <v>154</v>
      </c>
      <c r="E104" s="399" t="s">
        <v>155</v>
      </c>
      <c r="F104" s="399" t="s">
        <v>156</v>
      </c>
      <c r="G104" s="399" t="s">
        <v>157</v>
      </c>
      <c r="H104" s="399" t="s">
        <v>158</v>
      </c>
      <c r="I104" s="399" t="s">
        <v>159</v>
      </c>
      <c r="J104" s="347"/>
    </row>
    <row r="105" spans="2:15" ht="15.75" customHeight="1">
      <c r="B105" s="420"/>
      <c r="C105" s="421"/>
      <c r="D105" s="421"/>
      <c r="E105" s="421"/>
      <c r="F105" s="421"/>
      <c r="G105" s="421"/>
      <c r="H105" s="421"/>
      <c r="I105" s="421"/>
      <c r="J105" s="347"/>
    </row>
    <row r="106" spans="2:15" ht="15.75" customHeight="1">
      <c r="B106" s="370" t="s">
        <v>472</v>
      </c>
      <c r="C106" s="389">
        <f>+'6.Cons Profit &amp; Loss'!B39</f>
        <v>232087.31711550051</v>
      </c>
      <c r="D106" s="389">
        <f>+'6.Cons Profit &amp; Loss'!C39</f>
        <v>511155.30670752423</v>
      </c>
      <c r="E106" s="389">
        <f>+'6.Cons Profit &amp; Loss'!D39</f>
        <v>1162937.038670511</v>
      </c>
      <c r="F106" s="389">
        <f>+'6.Cons Profit &amp; Loss'!E39</f>
        <v>1859508.7165933922</v>
      </c>
      <c r="G106" s="389">
        <f>+'6.Cons Profit &amp; Loss'!F39</f>
        <v>2594192.2049585604</v>
      </c>
      <c r="H106" s="389">
        <f>+'6.Cons Profit &amp; Loss'!G39</f>
        <v>3337707.3163622096</v>
      </c>
      <c r="I106" s="389">
        <f>+'6.Cons Profit &amp; Loss'!H39</f>
        <v>3995536.4711141796</v>
      </c>
      <c r="J106" s="436"/>
      <c r="K106" s="130"/>
      <c r="L106" s="130"/>
      <c r="M106" s="130"/>
      <c r="N106" s="130"/>
      <c r="O106" s="130"/>
    </row>
    <row r="107" spans="2:15" ht="15.75" customHeight="1">
      <c r="B107" s="370" t="s">
        <v>473</v>
      </c>
      <c r="C107" s="389">
        <f>'6.Cons Profit &amp; Loss'!B32</f>
        <v>1744584.676</v>
      </c>
      <c r="D107" s="389">
        <f>'6.Cons Profit &amp; Loss'!C32</f>
        <v>1744584.676</v>
      </c>
      <c r="E107" s="389">
        <f>'6.Cons Profit &amp; Loss'!D32</f>
        <v>1744584.676</v>
      </c>
      <c r="F107" s="389">
        <f>'6.Cons Profit &amp; Loss'!E32</f>
        <v>1744584.676</v>
      </c>
      <c r="G107" s="389">
        <f>'6.Cons Profit &amp; Loss'!F32</f>
        <v>1744584.676</v>
      </c>
      <c r="H107" s="389">
        <f>'6.Cons Profit &amp; Loss'!G32</f>
        <v>1744584.676</v>
      </c>
      <c r="I107" s="389">
        <f>'6.Cons Profit &amp; Loss'!H32</f>
        <v>1744584.676</v>
      </c>
      <c r="J107" s="436"/>
      <c r="K107" s="130"/>
      <c r="L107" s="130"/>
      <c r="M107" s="130"/>
      <c r="N107" s="130"/>
      <c r="O107" s="130"/>
    </row>
    <row r="108" spans="2:15" ht="15.75" customHeight="1">
      <c r="B108" s="370" t="s">
        <v>474</v>
      </c>
      <c r="C108" s="389">
        <f>'6.Cons Profit &amp; Loss'!B33</f>
        <v>100000</v>
      </c>
      <c r="D108" s="389">
        <f>'6.Cons Profit &amp; Loss'!C33</f>
        <v>100000</v>
      </c>
      <c r="E108" s="389">
        <f>'6.Cons Profit &amp; Loss'!D33</f>
        <v>100000</v>
      </c>
      <c r="F108" s="389">
        <f>'6.Cons Profit &amp; Loss'!E33</f>
        <v>100000</v>
      </c>
      <c r="G108" s="389">
        <f>'6.Cons Profit &amp; Loss'!F33</f>
        <v>100000</v>
      </c>
      <c r="H108" s="389">
        <f>'6.Cons Profit &amp; Loss'!G33</f>
        <v>0</v>
      </c>
      <c r="I108" s="389">
        <f>'6.Cons Profit &amp; Loss'!H33</f>
        <v>0</v>
      </c>
      <c r="J108" s="436"/>
      <c r="K108" s="130"/>
      <c r="L108" s="130"/>
      <c r="M108" s="130"/>
      <c r="N108" s="130"/>
      <c r="O108" s="130"/>
    </row>
    <row r="109" spans="2:15" ht="15.75" customHeight="1">
      <c r="B109" s="370" t="s">
        <v>739</v>
      </c>
      <c r="C109" s="389">
        <f>'8.Cash Flow '!C26</f>
        <v>963573.7603433507</v>
      </c>
      <c r="D109" s="389">
        <f>'8.Cash Flow '!D26</f>
        <v>864636.61367502424</v>
      </c>
      <c r="E109" s="389">
        <f>'8.Cash Flow '!E26</f>
        <v>734605.49269195239</v>
      </c>
      <c r="F109" s="389">
        <f>'8.Cash Flow '!F26</f>
        <v>586625.85339255305</v>
      </c>
      <c r="G109" s="389">
        <f>'8.Cash Flow '!G26</f>
        <v>418220.21725233085</v>
      </c>
      <c r="H109" s="389">
        <f>'8.Cash Flow '!H26</f>
        <v>226569.13323790996</v>
      </c>
      <c r="I109" s="389">
        <f>'8.Cash Flow '!I26</f>
        <v>33285.560679731447</v>
      </c>
      <c r="J109" s="436"/>
      <c r="K109" s="198"/>
      <c r="L109" s="130"/>
      <c r="M109" s="130"/>
      <c r="N109" s="130"/>
      <c r="O109" s="130"/>
    </row>
    <row r="110" spans="2:15" ht="15.75" customHeight="1">
      <c r="B110" s="391" t="s">
        <v>88</v>
      </c>
      <c r="C110" s="392">
        <f t="shared" ref="C110:I110" si="13">SUM(C106:C109)</f>
        <v>3040245.753458851</v>
      </c>
      <c r="D110" s="392">
        <f t="shared" si="13"/>
        <v>3220376.5963825486</v>
      </c>
      <c r="E110" s="392">
        <f t="shared" si="13"/>
        <v>3742127.2073624632</v>
      </c>
      <c r="F110" s="392">
        <f t="shared" si="13"/>
        <v>4290719.2459859457</v>
      </c>
      <c r="G110" s="392">
        <f t="shared" si="13"/>
        <v>4856997.0982108917</v>
      </c>
      <c r="H110" s="392">
        <f t="shared" si="13"/>
        <v>5308861.1256001191</v>
      </c>
      <c r="I110" s="392">
        <f t="shared" si="13"/>
        <v>5773406.7077939119</v>
      </c>
      <c r="J110" s="437"/>
    </row>
    <row r="111" spans="2:15" ht="15.75" customHeight="1">
      <c r="B111" s="370"/>
      <c r="C111" s="370"/>
      <c r="D111" s="370"/>
      <c r="E111" s="370"/>
      <c r="F111" s="370"/>
      <c r="G111" s="370"/>
      <c r="H111" s="370"/>
      <c r="I111" s="370"/>
      <c r="J111" s="347"/>
    </row>
    <row r="112" spans="2:15" ht="15.75" customHeight="1">
      <c r="B112" s="370" t="s">
        <v>475</v>
      </c>
      <c r="C112" s="392">
        <f>'8.Cash Flow '!C25+'8.Cash Flow '!C26</f>
        <v>1390834.6688066984</v>
      </c>
      <c r="D112" s="392">
        <f>'8.Cash Flow '!D25+'8.Cash Flow '!D26</f>
        <v>1806669.3835183654</v>
      </c>
      <c r="E112" s="392">
        <f>'8.Cash Flow '!E25+'8.Cash Flow '!E26</f>
        <v>1806669.3835183657</v>
      </c>
      <c r="F112" s="392">
        <f>'8.Cash Flow '!F25+'8.Cash Flow '!F26</f>
        <v>1806669.3835183652</v>
      </c>
      <c r="G112" s="392">
        <f>'8.Cash Flow '!G25+'8.Cash Flow '!G26</f>
        <v>1806669.3835183654</v>
      </c>
      <c r="H112" s="392">
        <f>'8.Cash Flow '!H25+'8.Cash Flow '!H26</f>
        <v>1806669.3835183652</v>
      </c>
      <c r="I112" s="392">
        <f>'8.Cash Flow '!I25+'8.Cash Flow '!I26</f>
        <v>903334.69175918237</v>
      </c>
      <c r="J112" s="364"/>
    </row>
    <row r="113" spans="2:18" ht="15.75" customHeight="1">
      <c r="B113" s="370"/>
      <c r="C113" s="370"/>
      <c r="D113" s="370"/>
      <c r="E113" s="370"/>
      <c r="F113" s="370"/>
      <c r="G113" s="370"/>
      <c r="H113" s="370"/>
      <c r="I113" s="370"/>
      <c r="J113" s="436"/>
    </row>
    <row r="114" spans="2:18" ht="15.75" customHeight="1">
      <c r="B114" s="391" t="s">
        <v>476</v>
      </c>
      <c r="C114" s="438">
        <f>(C110/2)/C112</f>
        <v>1.0929572801299619</v>
      </c>
      <c r="D114" s="438">
        <f t="shared" ref="D114:H114" si="14">D110/D112</f>
        <v>1.7824935905600419</v>
      </c>
      <c r="E114" s="438">
        <f t="shared" si="14"/>
        <v>2.0712850073735822</v>
      </c>
      <c r="F114" s="438">
        <f t="shared" si="14"/>
        <v>2.3749332806149974</v>
      </c>
      <c r="G114" s="438">
        <f t="shared" si="14"/>
        <v>2.6883707348558823</v>
      </c>
      <c r="H114" s="438">
        <f t="shared" si="14"/>
        <v>2.9384795989964001</v>
      </c>
      <c r="I114" s="438">
        <f>(I110/2)/I112</f>
        <v>3.1956077633587823</v>
      </c>
      <c r="J114" s="436"/>
    </row>
    <row r="115" spans="2:18" ht="15.75" customHeight="1">
      <c r="B115" s="366"/>
      <c r="C115" s="366"/>
      <c r="D115" s="366"/>
      <c r="E115" s="366"/>
      <c r="F115" s="366"/>
      <c r="G115" s="366"/>
      <c r="H115" s="366"/>
      <c r="I115" s="366"/>
      <c r="J115" s="347"/>
    </row>
    <row r="116" spans="2:18" ht="15.75" customHeight="1">
      <c r="B116" s="366" t="s">
        <v>477</v>
      </c>
      <c r="C116" s="439">
        <f>AVERAGE(C114:I114)</f>
        <v>2.3063038936985207</v>
      </c>
      <c r="D116" s="366"/>
      <c r="E116" s="366"/>
      <c r="F116" s="366"/>
      <c r="G116" s="366"/>
      <c r="H116" s="366"/>
      <c r="I116" s="366"/>
      <c r="J116" s="347"/>
    </row>
    <row r="117" spans="2:18" ht="15.75" customHeight="1">
      <c r="B117" s="347"/>
      <c r="C117" s="347"/>
      <c r="D117" s="347"/>
      <c r="E117" s="347"/>
      <c r="F117" s="347"/>
      <c r="G117" s="347"/>
      <c r="H117" s="347"/>
      <c r="I117" s="347"/>
      <c r="J117" s="347"/>
    </row>
    <row r="118" spans="2:18" ht="29.25" customHeight="1">
      <c r="B118" s="418" t="s">
        <v>478</v>
      </c>
      <c r="C118" s="346"/>
      <c r="D118" s="346"/>
      <c r="E118" s="346"/>
      <c r="F118" s="346"/>
      <c r="G118" s="346"/>
      <c r="H118" s="346"/>
      <c r="I118" s="346"/>
      <c r="J118" s="346"/>
    </row>
    <row r="119" spans="2:18" ht="15.75" customHeight="1">
      <c r="B119" s="347"/>
      <c r="C119" s="347"/>
      <c r="D119" s="347"/>
      <c r="E119" s="347"/>
      <c r="F119" s="347"/>
      <c r="G119" s="347"/>
      <c r="H119" s="347"/>
      <c r="I119" s="347"/>
      <c r="J119" s="347"/>
    </row>
    <row r="120" spans="2:18" ht="15.75" customHeight="1">
      <c r="B120" s="440" t="s">
        <v>479</v>
      </c>
      <c r="C120" s="441"/>
      <c r="D120" s="441"/>
      <c r="E120" s="441"/>
      <c r="F120" s="441"/>
      <c r="G120" s="441"/>
      <c r="H120" s="441"/>
      <c r="I120" s="441"/>
      <c r="J120" s="347"/>
      <c r="K120" s="311"/>
      <c r="L120" s="251"/>
      <c r="M120" s="251"/>
      <c r="N120" s="251"/>
      <c r="O120" s="251"/>
      <c r="P120" s="251"/>
      <c r="Q120" s="251"/>
      <c r="R120" s="251"/>
    </row>
    <row r="121" spans="2:18" ht="15.75" customHeight="1">
      <c r="B121" s="398" t="s">
        <v>480</v>
      </c>
      <c r="C121" s="399" t="s">
        <v>153</v>
      </c>
      <c r="D121" s="399" t="s">
        <v>154</v>
      </c>
      <c r="E121" s="399" t="s">
        <v>155</v>
      </c>
      <c r="F121" s="399" t="s">
        <v>156</v>
      </c>
      <c r="G121" s="399" t="s">
        <v>157</v>
      </c>
      <c r="H121" s="399" t="s">
        <v>158</v>
      </c>
      <c r="I121" s="399" t="s">
        <v>159</v>
      </c>
      <c r="J121" s="347"/>
    </row>
    <row r="122" spans="2:18" ht="15.75" customHeight="1">
      <c r="B122" s="370" t="str">
        <f>'6.Cons Profit &amp; Loss'!A8</f>
        <v>Faclitiy 1 - Cleaning &amp; Grading</v>
      </c>
      <c r="C122" s="389">
        <f>'6.Cons Profit &amp; Loss'!B8*(1+$M$123)</f>
        <v>190020623.32504123</v>
      </c>
      <c r="D122" s="389">
        <f>'6.Cons Profit &amp; Loss'!C8*(1+$M$123)</f>
        <v>217147903.91677544</v>
      </c>
      <c r="E122" s="389">
        <f>'6.Cons Profit &amp; Loss'!D8*(1+$M$123)</f>
        <v>241570062.06721485</v>
      </c>
      <c r="F122" s="389">
        <f>'6.Cons Profit &amp; Loss'!E8*(1+$M$123)</f>
        <v>266767772.37584093</v>
      </c>
      <c r="G122" s="389">
        <f>'6.Cons Profit &amp; Loss'!F8*(1+$M$123)</f>
        <v>292741034.84265375</v>
      </c>
      <c r="H122" s="389">
        <f>'6.Cons Profit &amp; Loss'!G8*(1+$M$123)</f>
        <v>319489849.46765345</v>
      </c>
      <c r="I122" s="389">
        <f>'6.Cons Profit &amp; Loss'!H8*(1+$M$123)</f>
        <v>347014216.25083983</v>
      </c>
      <c r="J122" s="347"/>
    </row>
    <row r="123" spans="2:18" ht="15.75" customHeight="1">
      <c r="B123" s="370" t="str">
        <f>'6.Cons Profit &amp; Loss'!A9</f>
        <v>Faclitiy 2 - Processing Unit- Dal Mill</v>
      </c>
      <c r="C123" s="389">
        <f>'6.Cons Profit &amp; Loss'!B9*(1+$M$123)</f>
        <v>18847026.785159998</v>
      </c>
      <c r="D123" s="389">
        <f>'6.Cons Profit &amp; Loss'!C9*(1+$M$123)</f>
        <v>21478137.480616324</v>
      </c>
      <c r="E123" s="389">
        <f>'6.Cons Profit &amp; Loss'!D9*(1+$M$123)</f>
        <v>23893196.095772639</v>
      </c>
      <c r="F123" s="389">
        <f>'6.Cons Profit &amp; Loss'!E9*(1+$M$123)</f>
        <v>26384943.890334964</v>
      </c>
      <c r="G123" s="389">
        <f>'6.Cons Profit &amp; Loss'!F9*(1+$M$123)</f>
        <v>28953380.86430328</v>
      </c>
      <c r="H123" s="389">
        <f>'6.Cons Profit &amp; Loss'!G9*(1+$M$123)</f>
        <v>31598507.017677609</v>
      </c>
      <c r="I123" s="389">
        <f>'6.Cons Profit &amp; Loss'!H9*(1+$M$123)</f>
        <v>34320322.350457922</v>
      </c>
      <c r="J123" s="347"/>
      <c r="L123" s="135" t="s">
        <v>481</v>
      </c>
      <c r="M123" s="142">
        <v>0.05</v>
      </c>
    </row>
    <row r="124" spans="2:18" ht="15.75" customHeight="1">
      <c r="B124" s="370" t="str">
        <f>'6.Cons Profit &amp; Loss'!A10</f>
        <v>Faclitiy 3 - Warehouse</v>
      </c>
      <c r="C124" s="389">
        <f>'6.Cons Profit &amp; Loss'!B10*(1+$M$123)</f>
        <v>2016000</v>
      </c>
      <c r="D124" s="389">
        <f>'6.Cons Profit &amp; Loss'!C10*(1+$M$123)</f>
        <v>2184840.0000000005</v>
      </c>
      <c r="E124" s="389">
        <f>'6.Cons Profit &amp; Loss'!D10*(1+$M$123)</f>
        <v>2358720.0000000005</v>
      </c>
      <c r="F124" s="389">
        <f>'6.Cons Profit &amp; Loss'!E10*(1+$M$123)</f>
        <v>2537640.0000000009</v>
      </c>
      <c r="G124" s="389">
        <f>'6.Cons Profit &amp; Loss'!F10*(1+$M$123)</f>
        <v>2721600.0000000014</v>
      </c>
      <c r="H124" s="389">
        <f>'6.Cons Profit &amp; Loss'!G10*(1+$M$123)</f>
        <v>2772000.0000000014</v>
      </c>
      <c r="I124" s="389">
        <f>'6.Cons Profit &amp; Loss'!H10*(1+$M$123)</f>
        <v>2822400.0000000014</v>
      </c>
      <c r="J124" s="347"/>
      <c r="L124" s="135" t="s">
        <v>482</v>
      </c>
      <c r="M124" s="142">
        <v>0.05</v>
      </c>
    </row>
    <row r="125" spans="2:18" ht="15.75" customHeight="1">
      <c r="B125" s="370">
        <f>'6.Cons Profit &amp; Loss'!A11</f>
        <v>0</v>
      </c>
      <c r="C125" s="389">
        <f>'6.Cons Profit &amp; Loss'!B11*(1+$M$123)</f>
        <v>0</v>
      </c>
      <c r="D125" s="389">
        <f>'6.Cons Profit &amp; Loss'!C11*(1+$M$123)</f>
        <v>0</v>
      </c>
      <c r="E125" s="389">
        <f>'6.Cons Profit &amp; Loss'!D11*(1+$M$123)</f>
        <v>0</v>
      </c>
      <c r="F125" s="389">
        <f>'6.Cons Profit &amp; Loss'!E11*(1+$M$123)</f>
        <v>0</v>
      </c>
      <c r="G125" s="389">
        <f>'6.Cons Profit &amp; Loss'!F11*(1+$M$123)</f>
        <v>0</v>
      </c>
      <c r="H125" s="389">
        <f>'6.Cons Profit &amp; Loss'!G11*(1+$M$123)</f>
        <v>0</v>
      </c>
      <c r="I125" s="389">
        <f>'6.Cons Profit &amp; Loss'!H11*(1+$M$123)</f>
        <v>0</v>
      </c>
      <c r="J125" s="347"/>
    </row>
    <row r="126" spans="2:18" ht="15.75" customHeight="1">
      <c r="B126" s="370" t="s">
        <v>483</v>
      </c>
      <c r="C126" s="389">
        <f t="shared" ref="C126:I126" si="15">SUM(C122:C125)</f>
        <v>210883650.11020124</v>
      </c>
      <c r="D126" s="389">
        <f t="shared" si="15"/>
        <v>240810881.39739177</v>
      </c>
      <c r="E126" s="389">
        <f t="shared" si="15"/>
        <v>267821978.16298747</v>
      </c>
      <c r="F126" s="389">
        <f t="shared" si="15"/>
        <v>295690356.26617587</v>
      </c>
      <c r="G126" s="389">
        <f t="shared" si="15"/>
        <v>324416015.70695704</v>
      </c>
      <c r="H126" s="389">
        <f t="shared" si="15"/>
        <v>353860356.48533106</v>
      </c>
      <c r="I126" s="389">
        <f t="shared" si="15"/>
        <v>384156938.60129774</v>
      </c>
      <c r="J126" s="347"/>
    </row>
    <row r="127" spans="2:18" ht="15.75" customHeight="1">
      <c r="B127" s="370" t="s">
        <v>484</v>
      </c>
      <c r="C127" s="389"/>
      <c r="D127" s="389"/>
      <c r="E127" s="389"/>
      <c r="F127" s="389"/>
      <c r="G127" s="389"/>
      <c r="H127" s="389"/>
      <c r="I127" s="389"/>
      <c r="J127" s="347"/>
    </row>
    <row r="128" spans="2:18" ht="15.75" customHeight="1">
      <c r="B128" s="370" t="s">
        <v>485</v>
      </c>
      <c r="C128" s="389">
        <f>'6.Cons Profit &amp; Loss'!B26</f>
        <v>1419000</v>
      </c>
      <c r="D128" s="389">
        <f>'6.Cons Profit &amp; Loss'!C26</f>
        <v>1469070</v>
      </c>
      <c r="E128" s="389">
        <f>'6.Cons Profit &amp; Loss'!D26</f>
        <v>1520947.5</v>
      </c>
      <c r="F128" s="389">
        <f>'6.Cons Profit &amp; Loss'!E26</f>
        <v>1574722.875</v>
      </c>
      <c r="G128" s="389">
        <f>'6.Cons Profit &amp; Loss'!F26</f>
        <v>1630491.0187500003</v>
      </c>
      <c r="H128" s="389">
        <f>'6.Cons Profit &amp; Loss'!G26</f>
        <v>1688351.5696875001</v>
      </c>
      <c r="I128" s="389">
        <f>'6.Cons Profit &amp; Loss'!H26</f>
        <v>1748409.1481718756</v>
      </c>
      <c r="J128" s="347"/>
    </row>
    <row r="129" spans="2:15" ht="15.75" customHeight="1">
      <c r="B129" s="370" t="s">
        <v>352</v>
      </c>
      <c r="C129" s="389">
        <f>'6.Cons Profit &amp; Loss'!B19*(1+M123)</f>
        <v>205727986.0576297</v>
      </c>
      <c r="D129" s="389">
        <f>'6.Cons Profit &amp; Loss'!C19*(1+N123)</f>
        <v>224214337.30223471</v>
      </c>
      <c r="E129" s="389">
        <f>'6.Cons Profit &amp; Loss'!D19*(1+O123)</f>
        <v>249365563.2537269</v>
      </c>
      <c r="F129" s="389">
        <f>'6.Cons Profit &amp; Loss'!E19*(1+P123)</f>
        <v>275304508.31933045</v>
      </c>
      <c r="G129" s="389">
        <f>'6.Cons Profit &amp; Loss'!F19*(1+Q123)</f>
        <v>302040233.21933758</v>
      </c>
      <c r="H129" s="389">
        <f>'6.Cons Profit &amp; Loss'!G19*(1+R123)</f>
        <v>329572737.95374799</v>
      </c>
      <c r="I129" s="389">
        <f>'6.Cons Profit &amp; Loss'!H19*(1+S123)</f>
        <v>357902022.52256191</v>
      </c>
      <c r="J129" s="347"/>
    </row>
    <row r="130" spans="2:15" ht="15.75" customHeight="1">
      <c r="B130" s="370" t="s">
        <v>486</v>
      </c>
      <c r="C130" s="389">
        <f t="shared" ref="C130:I130" si="16">SUM(C128:C129)</f>
        <v>207146986.0576297</v>
      </c>
      <c r="D130" s="389">
        <f t="shared" si="16"/>
        <v>225683407.30223471</v>
      </c>
      <c r="E130" s="389">
        <f t="shared" si="16"/>
        <v>250886510.7537269</v>
      </c>
      <c r="F130" s="389">
        <f t="shared" si="16"/>
        <v>276879231.19433045</v>
      </c>
      <c r="G130" s="389">
        <f t="shared" si="16"/>
        <v>303670724.23808759</v>
      </c>
      <c r="H130" s="389">
        <f t="shared" si="16"/>
        <v>331261089.52343547</v>
      </c>
      <c r="I130" s="389">
        <f t="shared" si="16"/>
        <v>359650431.67073381</v>
      </c>
      <c r="J130" s="347"/>
    </row>
    <row r="131" spans="2:15" ht="15.75" customHeight="1">
      <c r="B131" s="391" t="s">
        <v>487</v>
      </c>
      <c r="C131" s="392">
        <f t="shared" ref="C131:I131" si="17">+C126-C130</f>
        <v>3736664.0525715351</v>
      </c>
      <c r="D131" s="392">
        <f t="shared" si="17"/>
        <v>15127474.095157057</v>
      </c>
      <c r="E131" s="392">
        <f t="shared" si="17"/>
        <v>16935467.409260571</v>
      </c>
      <c r="F131" s="392">
        <f t="shared" si="17"/>
        <v>18811125.071845412</v>
      </c>
      <c r="G131" s="392">
        <f t="shared" si="17"/>
        <v>20745291.468869448</v>
      </c>
      <c r="H131" s="392">
        <f t="shared" si="17"/>
        <v>22599266.961895585</v>
      </c>
      <c r="I131" s="392">
        <f t="shared" si="17"/>
        <v>24506506.930563927</v>
      </c>
      <c r="J131" s="347"/>
    </row>
    <row r="132" spans="2:15" ht="15.75" customHeight="1">
      <c r="B132" s="366"/>
      <c r="C132" s="442"/>
      <c r="D132" s="442"/>
      <c r="E132" s="442"/>
      <c r="F132" s="442"/>
      <c r="G132" s="442"/>
      <c r="H132" s="442"/>
      <c r="I132" s="442"/>
      <c r="J132" s="347"/>
    </row>
    <row r="133" spans="2:15" ht="15.75" customHeight="1">
      <c r="B133" s="398" t="s">
        <v>488</v>
      </c>
      <c r="C133" s="399" t="s">
        <v>153</v>
      </c>
      <c r="D133" s="399" t="s">
        <v>154</v>
      </c>
      <c r="E133" s="399" t="s">
        <v>155</v>
      </c>
      <c r="F133" s="399" t="s">
        <v>156</v>
      </c>
      <c r="G133" s="399" t="s">
        <v>157</v>
      </c>
      <c r="H133" s="399" t="s">
        <v>158</v>
      </c>
      <c r="I133" s="399" t="s">
        <v>159</v>
      </c>
      <c r="J133" s="347"/>
    </row>
    <row r="134" spans="2:15" ht="15.75" customHeight="1">
      <c r="B134" s="370" t="str">
        <f>B122</f>
        <v>Faclitiy 1 - Cleaning &amp; Grading</v>
      </c>
      <c r="C134" s="443">
        <f>'6.Cons Profit &amp; Loss'!B8</f>
        <v>180972022.21432498</v>
      </c>
      <c r="D134" s="443">
        <f>'6.Cons Profit &amp; Loss'!C8</f>
        <v>206807527.53978613</v>
      </c>
      <c r="E134" s="443">
        <f>'6.Cons Profit &amp; Loss'!D8</f>
        <v>230066725.77829984</v>
      </c>
      <c r="F134" s="443">
        <f>'6.Cons Profit &amp; Loss'!E8</f>
        <v>254064545.11984849</v>
      </c>
      <c r="G134" s="443">
        <f>'6.Cons Profit &amp; Loss'!F8</f>
        <v>278800985.56443214</v>
      </c>
      <c r="H134" s="443">
        <f>'6.Cons Profit &amp; Loss'!G8</f>
        <v>304276047.11205089</v>
      </c>
      <c r="I134" s="443">
        <f>'6.Cons Profit &amp; Loss'!H8</f>
        <v>330489729.76270461</v>
      </c>
      <c r="J134" s="347"/>
    </row>
    <row r="135" spans="2:15" ht="15.75" customHeight="1">
      <c r="B135" s="370" t="str">
        <f>B123</f>
        <v>Faclitiy 2 - Processing Unit- Dal Mill</v>
      </c>
      <c r="C135" s="443">
        <f>'6.Cons Profit &amp; Loss'!B9</f>
        <v>17949549.319199998</v>
      </c>
      <c r="D135" s="443">
        <f>'6.Cons Profit &amp; Loss'!C9</f>
        <v>20455369.029158402</v>
      </c>
      <c r="E135" s="443">
        <f>'6.Cons Profit &amp; Loss'!D9</f>
        <v>22755424.853116799</v>
      </c>
      <c r="F135" s="443">
        <f>'6.Cons Profit &amp; Loss'!E9</f>
        <v>25128517.990795203</v>
      </c>
      <c r="G135" s="443">
        <f>'6.Cons Profit &amp; Loss'!F9</f>
        <v>27574648.442193598</v>
      </c>
      <c r="H135" s="443">
        <f>'6.Cons Profit &amp; Loss'!G9</f>
        <v>30093816.207312007</v>
      </c>
      <c r="I135" s="443">
        <f>'6.Cons Profit &amp; Loss'!H9</f>
        <v>32686021.286150403</v>
      </c>
      <c r="J135" s="347"/>
    </row>
    <row r="136" spans="2:15" ht="15.75" customHeight="1">
      <c r="B136" s="370" t="str">
        <f>B124</f>
        <v>Faclitiy 3 - Warehouse</v>
      </c>
      <c r="C136" s="443">
        <f>'6.Cons Profit &amp; Loss'!B10</f>
        <v>1920000</v>
      </c>
      <c r="D136" s="443">
        <f>'6.Cons Profit &amp; Loss'!C10</f>
        <v>2080800.0000000005</v>
      </c>
      <c r="E136" s="443">
        <f>'6.Cons Profit &amp; Loss'!D10</f>
        <v>2246400.0000000005</v>
      </c>
      <c r="F136" s="443">
        <f>'6.Cons Profit &amp; Loss'!E10</f>
        <v>2416800.0000000009</v>
      </c>
      <c r="G136" s="443">
        <f>'6.Cons Profit &amp; Loss'!F10</f>
        <v>2592000.0000000014</v>
      </c>
      <c r="H136" s="443">
        <f>'6.Cons Profit &amp; Loss'!G10</f>
        <v>2640000.0000000014</v>
      </c>
      <c r="I136" s="443">
        <f>'6.Cons Profit &amp; Loss'!H10</f>
        <v>2688000.0000000014</v>
      </c>
      <c r="J136" s="347"/>
    </row>
    <row r="137" spans="2:15" ht="15.75" customHeight="1">
      <c r="B137" s="370">
        <f>B125</f>
        <v>0</v>
      </c>
      <c r="C137" s="443">
        <f>'6.Cons Profit &amp; Loss'!B11</f>
        <v>0</v>
      </c>
      <c r="D137" s="443">
        <f>'6.Cons Profit &amp; Loss'!C11</f>
        <v>0</v>
      </c>
      <c r="E137" s="443">
        <f>'6.Cons Profit &amp; Loss'!D11</f>
        <v>0</v>
      </c>
      <c r="F137" s="443">
        <f>'6.Cons Profit &amp; Loss'!E11</f>
        <v>0</v>
      </c>
      <c r="G137" s="443">
        <f>'6.Cons Profit &amp; Loss'!F11</f>
        <v>0</v>
      </c>
      <c r="H137" s="443">
        <f>'6.Cons Profit &amp; Loss'!G11</f>
        <v>0</v>
      </c>
      <c r="I137" s="443">
        <f>'6.Cons Profit &amp; Loss'!H11</f>
        <v>0</v>
      </c>
      <c r="J137" s="347"/>
    </row>
    <row r="138" spans="2:15" ht="15.75" customHeight="1">
      <c r="B138" s="370" t="s">
        <v>483</v>
      </c>
      <c r="C138" s="443">
        <f t="shared" ref="C138:I138" si="18">SUM(C134:C137)</f>
        <v>200841571.53352499</v>
      </c>
      <c r="D138" s="443">
        <f t="shared" si="18"/>
        <v>229343696.56894454</v>
      </c>
      <c r="E138" s="443">
        <f t="shared" si="18"/>
        <v>255068550.63141665</v>
      </c>
      <c r="F138" s="443">
        <f t="shared" si="18"/>
        <v>281609863.11064368</v>
      </c>
      <c r="G138" s="443">
        <f t="shared" si="18"/>
        <v>308967634.00662577</v>
      </c>
      <c r="H138" s="443">
        <f t="shared" si="18"/>
        <v>337009863.31936288</v>
      </c>
      <c r="I138" s="443">
        <f t="shared" si="18"/>
        <v>365863751.04885501</v>
      </c>
      <c r="J138" s="347"/>
    </row>
    <row r="139" spans="2:15" ht="15.75" customHeight="1">
      <c r="B139" s="370" t="s">
        <v>484</v>
      </c>
      <c r="C139" s="444"/>
      <c r="D139" s="443"/>
      <c r="E139" s="443"/>
      <c r="F139" s="443"/>
      <c r="G139" s="443"/>
      <c r="H139" s="443"/>
      <c r="I139" s="443"/>
      <c r="J139" s="347"/>
    </row>
    <row r="140" spans="2:15" ht="15.75" customHeight="1">
      <c r="B140" s="370" t="s">
        <v>485</v>
      </c>
      <c r="C140" s="445">
        <f>'6.Cons Profit &amp; Loss'!B26</f>
        <v>1419000</v>
      </c>
      <c r="D140" s="445">
        <f>'6.Cons Profit &amp; Loss'!C26</f>
        <v>1469070</v>
      </c>
      <c r="E140" s="445">
        <f>'6.Cons Profit &amp; Loss'!D26</f>
        <v>1520947.5</v>
      </c>
      <c r="F140" s="445">
        <f>'6.Cons Profit &amp; Loss'!E26</f>
        <v>1574722.875</v>
      </c>
      <c r="G140" s="445">
        <f>'6.Cons Profit &amp; Loss'!F26</f>
        <v>1630491.0187500003</v>
      </c>
      <c r="H140" s="445">
        <f>'6.Cons Profit &amp; Loss'!G26</f>
        <v>1688351.5696875001</v>
      </c>
      <c r="I140" s="445">
        <f>'6.Cons Profit &amp; Loss'!H26</f>
        <v>1748409.1481718756</v>
      </c>
      <c r="J140" s="347"/>
    </row>
    <row r="141" spans="2:15" ht="15.75" customHeight="1">
      <c r="B141" s="370" t="s">
        <v>352</v>
      </c>
      <c r="C141" s="445">
        <f>'6.Cons Profit &amp; Loss'!B19*(1+$M$124)</f>
        <v>205727986.0576297</v>
      </c>
      <c r="D141" s="445">
        <f>'6.Cons Profit &amp; Loss'!C19*(1+$M$124)</f>
        <v>235425054.16734645</v>
      </c>
      <c r="E141" s="445">
        <f>'6.Cons Profit &amp; Loss'!D19*(1+$M$124)</f>
        <v>261833841.41641325</v>
      </c>
      <c r="F141" s="445">
        <f>'6.Cons Profit &amp; Loss'!E19*(1+$M$124)</f>
        <v>289069733.73529696</v>
      </c>
      <c r="G141" s="445">
        <f>'6.Cons Profit &amp; Loss'!F19*(1+$M$124)</f>
        <v>317142244.88030446</v>
      </c>
      <c r="H141" s="445">
        <f>'6.Cons Profit &amp; Loss'!G19*(1+$M$124)</f>
        <v>346051374.85143542</v>
      </c>
      <c r="I141" s="445">
        <f>'6.Cons Profit &amp; Loss'!H19*(1+$M$124)</f>
        <v>375797123.64869004</v>
      </c>
      <c r="J141" s="347"/>
    </row>
    <row r="142" spans="2:15" ht="15.75" customHeight="1">
      <c r="B142" s="370" t="s">
        <v>486</v>
      </c>
      <c r="C142" s="445">
        <f t="shared" ref="C142:I142" si="19">SUM(C140:C141)</f>
        <v>207146986.0576297</v>
      </c>
      <c r="D142" s="445">
        <f t="shared" si="19"/>
        <v>236894124.16734645</v>
      </c>
      <c r="E142" s="445">
        <f t="shared" si="19"/>
        <v>263354788.91641325</v>
      </c>
      <c r="F142" s="445">
        <f t="shared" si="19"/>
        <v>290644456.61029696</v>
      </c>
      <c r="G142" s="445">
        <f t="shared" si="19"/>
        <v>318772735.89905447</v>
      </c>
      <c r="H142" s="445">
        <f t="shared" si="19"/>
        <v>347739726.42112291</v>
      </c>
      <c r="I142" s="445">
        <f t="shared" si="19"/>
        <v>377545532.79686195</v>
      </c>
      <c r="J142" s="347"/>
    </row>
    <row r="143" spans="2:15" ht="15.75" customHeight="1">
      <c r="B143" s="391" t="s">
        <v>487</v>
      </c>
      <c r="C143" s="446">
        <f t="shared" ref="C143:I143" si="20">+C138-C142</f>
        <v>-6305414.5241047144</v>
      </c>
      <c r="D143" s="446">
        <f t="shared" si="20"/>
        <v>-7550427.5984019041</v>
      </c>
      <c r="E143" s="446">
        <f t="shared" si="20"/>
        <v>-8286238.284996599</v>
      </c>
      <c r="F143" s="446">
        <f t="shared" si="20"/>
        <v>-9034593.4996532798</v>
      </c>
      <c r="G143" s="446">
        <f t="shared" si="20"/>
        <v>-9805101.8924286962</v>
      </c>
      <c r="H143" s="446">
        <f t="shared" si="20"/>
        <v>-10729863.10176003</v>
      </c>
      <c r="I143" s="446">
        <f t="shared" si="20"/>
        <v>-11681781.74800694</v>
      </c>
      <c r="J143" s="347"/>
      <c r="N143" s="131"/>
      <c r="O143" s="140"/>
    </row>
    <row r="144" spans="2:15" ht="15.75" customHeight="1">
      <c r="B144" s="366"/>
      <c r="C144" s="442"/>
      <c r="D144" s="442"/>
      <c r="E144" s="442"/>
      <c r="F144" s="442"/>
      <c r="G144" s="442"/>
      <c r="H144" s="442"/>
      <c r="I144" s="442"/>
      <c r="J144" s="347"/>
    </row>
    <row r="145" spans="2:10" ht="15.75" customHeight="1">
      <c r="B145" s="398" t="s">
        <v>489</v>
      </c>
      <c r="C145" s="399" t="s">
        <v>153</v>
      </c>
      <c r="D145" s="399" t="s">
        <v>154</v>
      </c>
      <c r="E145" s="399" t="s">
        <v>155</v>
      </c>
      <c r="F145" s="399" t="s">
        <v>156</v>
      </c>
      <c r="G145" s="399" t="s">
        <v>157</v>
      </c>
      <c r="H145" s="399" t="s">
        <v>158</v>
      </c>
      <c r="I145" s="399" t="s">
        <v>159</v>
      </c>
      <c r="J145" s="347"/>
    </row>
    <row r="146" spans="2:10" ht="15.75" customHeight="1">
      <c r="B146" s="370" t="str">
        <f>B134</f>
        <v>Faclitiy 1 - Cleaning &amp; Grading</v>
      </c>
      <c r="C146" s="389">
        <f>'6.Cons Profit &amp; Loss'!B8*(1-$M$123)</f>
        <v>171923421.10360873</v>
      </c>
      <c r="D146" s="389">
        <f>'6.Cons Profit &amp; Loss'!C8*(1-$M$123)</f>
        <v>196467151.16279683</v>
      </c>
      <c r="E146" s="389">
        <f>'6.Cons Profit &amp; Loss'!D8*(1-$M$123)</f>
        <v>218563389.48938483</v>
      </c>
      <c r="F146" s="389">
        <f>'6.Cons Profit &amp; Loss'!E8*(1-$M$123)</f>
        <v>241361317.86385605</v>
      </c>
      <c r="G146" s="389">
        <f>'6.Cons Profit &amp; Loss'!F8*(1-$M$123)</f>
        <v>264860936.28621054</v>
      </c>
      <c r="H146" s="389">
        <f>'6.Cons Profit &amp; Loss'!G8*(1-$M$123)</f>
        <v>289062244.75644833</v>
      </c>
      <c r="I146" s="389">
        <f>'6.Cons Profit &amp; Loss'!H8*(1-$M$123)</f>
        <v>313965243.27456939</v>
      </c>
      <c r="J146" s="347"/>
    </row>
    <row r="147" spans="2:10" ht="15.75" customHeight="1">
      <c r="B147" s="370" t="str">
        <f>B135</f>
        <v>Faclitiy 2 - Processing Unit- Dal Mill</v>
      </c>
      <c r="C147" s="389">
        <f>'6.Cons Profit &amp; Loss'!B9*(1-$M$123)</f>
        <v>17052071.853239998</v>
      </c>
      <c r="D147" s="389">
        <f>'6.Cons Profit &amp; Loss'!C9*(1-$M$123)</f>
        <v>19432600.577700481</v>
      </c>
      <c r="E147" s="389">
        <f>'6.Cons Profit &amp; Loss'!D9*(1-$M$123)</f>
        <v>21617653.610460959</v>
      </c>
      <c r="F147" s="389">
        <f>'6.Cons Profit &amp; Loss'!E9*(1-$M$123)</f>
        <v>23872092.091255441</v>
      </c>
      <c r="G147" s="389">
        <f>'6.Cons Profit &amp; Loss'!F9*(1-$M$123)</f>
        <v>26195916.020083915</v>
      </c>
      <c r="H147" s="389">
        <f>'6.Cons Profit &amp; Loss'!G9*(1-$M$123)</f>
        <v>28589125.396946404</v>
      </c>
      <c r="I147" s="389">
        <f>'6.Cons Profit &amp; Loss'!H9*(1-$M$123)</f>
        <v>31051720.221842881</v>
      </c>
      <c r="J147" s="347"/>
    </row>
    <row r="148" spans="2:10" ht="15.75" customHeight="1">
      <c r="B148" s="370" t="str">
        <f>B136</f>
        <v>Faclitiy 3 - Warehouse</v>
      </c>
      <c r="C148" s="389">
        <f>'6.Cons Profit &amp; Loss'!B10*(1-$M$123)</f>
        <v>1824000</v>
      </c>
      <c r="D148" s="389">
        <f>'6.Cons Profit &amp; Loss'!C10*(1-$M$123)</f>
        <v>1976760.0000000005</v>
      </c>
      <c r="E148" s="389">
        <f>'6.Cons Profit &amp; Loss'!D10*(1-$M$123)</f>
        <v>2134080.0000000005</v>
      </c>
      <c r="F148" s="389">
        <f>'6.Cons Profit &amp; Loss'!E10*(1-$M$123)</f>
        <v>2295960.0000000009</v>
      </c>
      <c r="G148" s="389">
        <f>'6.Cons Profit &amp; Loss'!F10*(1-$M$123)</f>
        <v>2462400.0000000014</v>
      </c>
      <c r="H148" s="389">
        <f>'6.Cons Profit &amp; Loss'!G10*(1-$M$123)</f>
        <v>2508000.0000000014</v>
      </c>
      <c r="I148" s="389">
        <f>'6.Cons Profit &amp; Loss'!H10*(1-$M$123)</f>
        <v>2553600.0000000014</v>
      </c>
      <c r="J148" s="347"/>
    </row>
    <row r="149" spans="2:10" ht="15.75" customHeight="1">
      <c r="B149" s="370">
        <f>B137</f>
        <v>0</v>
      </c>
      <c r="C149" s="389">
        <f>'6.Cons Profit &amp; Loss'!B11*(1-$M$123)</f>
        <v>0</v>
      </c>
      <c r="D149" s="389">
        <f>'6.Cons Profit &amp; Loss'!C11*(1-$M$123)</f>
        <v>0</v>
      </c>
      <c r="E149" s="389">
        <f>'6.Cons Profit &amp; Loss'!D11*(1-$M$123)</f>
        <v>0</v>
      </c>
      <c r="F149" s="389">
        <f>'6.Cons Profit &amp; Loss'!E11*(1-$M$123)</f>
        <v>0</v>
      </c>
      <c r="G149" s="389">
        <f>'6.Cons Profit &amp; Loss'!F11*(1-$M$123)</f>
        <v>0</v>
      </c>
      <c r="H149" s="389">
        <f>'6.Cons Profit &amp; Loss'!G11*(1-$M$123)</f>
        <v>0</v>
      </c>
      <c r="I149" s="389">
        <f>'6.Cons Profit &amp; Loss'!H11*(1-$M$123)</f>
        <v>0</v>
      </c>
      <c r="J149" s="347"/>
    </row>
    <row r="150" spans="2:10" ht="15.75" customHeight="1">
      <c r="B150" s="370" t="s">
        <v>483</v>
      </c>
      <c r="C150" s="389">
        <f t="shared" ref="C150:I150" si="21">SUM(C146:C149)</f>
        <v>190799492.95684874</v>
      </c>
      <c r="D150" s="389">
        <f t="shared" si="21"/>
        <v>217876511.74049729</v>
      </c>
      <c r="E150" s="389">
        <f t="shared" si="21"/>
        <v>242315123.0998458</v>
      </c>
      <c r="F150" s="389">
        <f t="shared" si="21"/>
        <v>267529369.9551115</v>
      </c>
      <c r="G150" s="389">
        <f t="shared" si="21"/>
        <v>293519252.30629444</v>
      </c>
      <c r="H150" s="389">
        <f t="shared" si="21"/>
        <v>320159370.15339476</v>
      </c>
      <c r="I150" s="389">
        <f t="shared" si="21"/>
        <v>347570563.49641228</v>
      </c>
      <c r="J150" s="347"/>
    </row>
    <row r="151" spans="2:10" ht="15.75" customHeight="1">
      <c r="B151" s="370" t="s">
        <v>484</v>
      </c>
      <c r="C151" s="389"/>
      <c r="D151" s="389"/>
      <c r="E151" s="389"/>
      <c r="F151" s="389"/>
      <c r="G151" s="389"/>
      <c r="H151" s="389"/>
      <c r="I151" s="389"/>
      <c r="J151" s="347"/>
    </row>
    <row r="152" spans="2:10" ht="15.75" customHeight="1">
      <c r="B152" s="370" t="s">
        <v>485</v>
      </c>
      <c r="C152" s="389">
        <f>'6.Cons Profit &amp; Loss'!B26</f>
        <v>1419000</v>
      </c>
      <c r="D152" s="389">
        <f>'6.Cons Profit &amp; Loss'!C26</f>
        <v>1469070</v>
      </c>
      <c r="E152" s="389">
        <f>'6.Cons Profit &amp; Loss'!D26</f>
        <v>1520947.5</v>
      </c>
      <c r="F152" s="389">
        <f>'6.Cons Profit &amp; Loss'!E26</f>
        <v>1574722.875</v>
      </c>
      <c r="G152" s="389">
        <f>'6.Cons Profit &amp; Loss'!F26</f>
        <v>1630491.0187500003</v>
      </c>
      <c r="H152" s="389">
        <f>'6.Cons Profit &amp; Loss'!G26</f>
        <v>1688351.5696875001</v>
      </c>
      <c r="I152" s="389">
        <f>'6.Cons Profit &amp; Loss'!H26</f>
        <v>1748409.1481718756</v>
      </c>
      <c r="J152" s="347"/>
    </row>
    <row r="153" spans="2:10" ht="15.75" customHeight="1">
      <c r="B153" s="370" t="s">
        <v>352</v>
      </c>
      <c r="C153" s="389">
        <f>'6.Cons Profit &amp; Loss'!B19*(1-$M$123)</f>
        <v>186134844.52833164</v>
      </c>
      <c r="D153" s="389">
        <f>'6.Cons Profit &amp; Loss'!C19*(1-$M$123)</f>
        <v>213003620.43712297</v>
      </c>
      <c r="E153" s="389">
        <f>'6.Cons Profit &amp; Loss'!D19*(1-$M$123)</f>
        <v>236897285.09104055</v>
      </c>
      <c r="F153" s="389">
        <f>'6.Cons Profit &amp; Loss'!E19*(1-$M$123)</f>
        <v>261539282.90336391</v>
      </c>
      <c r="G153" s="389">
        <f>'6.Cons Profit &amp; Loss'!F19*(1-$M$123)</f>
        <v>286938221.55837071</v>
      </c>
      <c r="H153" s="389">
        <f>'6.Cons Profit &amp; Loss'!G19*(1-$M$123)</f>
        <v>313094101.05606055</v>
      </c>
      <c r="I153" s="389">
        <f>'6.Cons Profit &amp; Loss'!H19*(1-$M$123)</f>
        <v>340006921.39643377</v>
      </c>
      <c r="J153" s="347"/>
    </row>
    <row r="154" spans="2:10" ht="15.75" customHeight="1">
      <c r="B154" s="370" t="s">
        <v>486</v>
      </c>
      <c r="C154" s="389">
        <f t="shared" ref="C154:I154" si="22">SUM(C152:C153)</f>
        <v>187553844.52833164</v>
      </c>
      <c r="D154" s="389">
        <f t="shared" si="22"/>
        <v>214472690.43712297</v>
      </c>
      <c r="E154" s="389">
        <f t="shared" si="22"/>
        <v>238418232.59104055</v>
      </c>
      <c r="F154" s="389">
        <f t="shared" si="22"/>
        <v>263114005.77836391</v>
      </c>
      <c r="G154" s="389">
        <f t="shared" si="22"/>
        <v>288568712.57712072</v>
      </c>
      <c r="H154" s="389">
        <f t="shared" si="22"/>
        <v>314782452.62574804</v>
      </c>
      <c r="I154" s="389">
        <f t="shared" si="22"/>
        <v>341755330.54460567</v>
      </c>
      <c r="J154" s="347"/>
    </row>
    <row r="155" spans="2:10" ht="15.75" customHeight="1">
      <c r="B155" s="391" t="s">
        <v>487</v>
      </c>
      <c r="C155" s="392">
        <f t="shared" ref="C155:I155" si="23">+C150-C154</f>
        <v>3245648.4285171032</v>
      </c>
      <c r="D155" s="392">
        <f t="shared" si="23"/>
        <v>3403821.3033743203</v>
      </c>
      <c r="E155" s="392">
        <f t="shared" si="23"/>
        <v>3896890.5088052452</v>
      </c>
      <c r="F155" s="392">
        <f t="shared" si="23"/>
        <v>4415364.1767475903</v>
      </c>
      <c r="G155" s="392">
        <f t="shared" si="23"/>
        <v>4950539.7291737199</v>
      </c>
      <c r="H155" s="392">
        <f t="shared" si="23"/>
        <v>5376917.5276467204</v>
      </c>
      <c r="I155" s="392">
        <f t="shared" si="23"/>
        <v>5815232.9518066049</v>
      </c>
      <c r="J155" s="347"/>
    </row>
    <row r="156" spans="2:10" ht="15.75" customHeight="1">
      <c r="B156" s="347"/>
      <c r="C156" s="442"/>
      <c r="D156" s="442"/>
      <c r="E156" s="442"/>
      <c r="F156" s="442"/>
      <c r="G156" s="442"/>
      <c r="H156" s="442"/>
      <c r="I156" s="442"/>
      <c r="J156" s="347"/>
    </row>
    <row r="157" spans="2:10" ht="15.75" customHeight="1">
      <c r="B157" s="398" t="s">
        <v>490</v>
      </c>
      <c r="C157" s="399" t="s">
        <v>153</v>
      </c>
      <c r="D157" s="399" t="s">
        <v>154</v>
      </c>
      <c r="E157" s="399" t="s">
        <v>155</v>
      </c>
      <c r="F157" s="399" t="s">
        <v>156</v>
      </c>
      <c r="G157" s="399" t="s">
        <v>157</v>
      </c>
      <c r="H157" s="399" t="s">
        <v>158</v>
      </c>
      <c r="I157" s="399" t="s">
        <v>159</v>
      </c>
      <c r="J157" s="347"/>
    </row>
    <row r="158" spans="2:10" ht="15.75" customHeight="1">
      <c r="B158" s="370" t="str">
        <f>B146</f>
        <v>Faclitiy 1 - Cleaning &amp; Grading</v>
      </c>
      <c r="C158" s="443">
        <f>'6.Cons Profit &amp; Loss'!B8</f>
        <v>180972022.21432498</v>
      </c>
      <c r="D158" s="443">
        <f>'6.Cons Profit &amp; Loss'!C8</f>
        <v>206807527.53978613</v>
      </c>
      <c r="E158" s="443">
        <f>'6.Cons Profit &amp; Loss'!D8</f>
        <v>230066725.77829984</v>
      </c>
      <c r="F158" s="443">
        <f>'6.Cons Profit &amp; Loss'!E8</f>
        <v>254064545.11984849</v>
      </c>
      <c r="G158" s="443">
        <f>'6.Cons Profit &amp; Loss'!F8</f>
        <v>278800985.56443214</v>
      </c>
      <c r="H158" s="443">
        <f>'6.Cons Profit &amp; Loss'!G8</f>
        <v>304276047.11205089</v>
      </c>
      <c r="I158" s="443">
        <f>'6.Cons Profit &amp; Loss'!H8</f>
        <v>330489729.76270461</v>
      </c>
      <c r="J158" s="347"/>
    </row>
    <row r="159" spans="2:10" ht="15.75" customHeight="1">
      <c r="B159" s="370" t="str">
        <f>B147</f>
        <v>Faclitiy 2 - Processing Unit- Dal Mill</v>
      </c>
      <c r="C159" s="443">
        <f>'6.Cons Profit &amp; Loss'!B9</f>
        <v>17949549.319199998</v>
      </c>
      <c r="D159" s="443">
        <f>'6.Cons Profit &amp; Loss'!C9</f>
        <v>20455369.029158402</v>
      </c>
      <c r="E159" s="443">
        <f>'6.Cons Profit &amp; Loss'!D9</f>
        <v>22755424.853116799</v>
      </c>
      <c r="F159" s="443">
        <f>'6.Cons Profit &amp; Loss'!E9</f>
        <v>25128517.990795203</v>
      </c>
      <c r="G159" s="443">
        <f>'6.Cons Profit &amp; Loss'!F9</f>
        <v>27574648.442193598</v>
      </c>
      <c r="H159" s="443">
        <f>'6.Cons Profit &amp; Loss'!G9</f>
        <v>30093816.207312007</v>
      </c>
      <c r="I159" s="443">
        <f>'6.Cons Profit &amp; Loss'!H9</f>
        <v>32686021.286150403</v>
      </c>
      <c r="J159" s="347"/>
    </row>
    <row r="160" spans="2:10" ht="15.75" customHeight="1">
      <c r="B160" s="370" t="str">
        <f>B148</f>
        <v>Faclitiy 3 - Warehouse</v>
      </c>
      <c r="C160" s="443">
        <f>'6.Cons Profit &amp; Loss'!B10</f>
        <v>1920000</v>
      </c>
      <c r="D160" s="443">
        <f>'6.Cons Profit &amp; Loss'!C10</f>
        <v>2080800.0000000005</v>
      </c>
      <c r="E160" s="443">
        <f>'6.Cons Profit &amp; Loss'!D10</f>
        <v>2246400.0000000005</v>
      </c>
      <c r="F160" s="443">
        <f>'6.Cons Profit &amp; Loss'!E10</f>
        <v>2416800.0000000009</v>
      </c>
      <c r="G160" s="443">
        <f>'6.Cons Profit &amp; Loss'!F10</f>
        <v>2592000.0000000014</v>
      </c>
      <c r="H160" s="443">
        <f>'6.Cons Profit &amp; Loss'!G10</f>
        <v>2640000.0000000014</v>
      </c>
      <c r="I160" s="443">
        <f>'6.Cons Profit &amp; Loss'!H10</f>
        <v>2688000.0000000014</v>
      </c>
      <c r="J160" s="347"/>
    </row>
    <row r="161" spans="2:13" ht="15.75" customHeight="1">
      <c r="B161" s="370">
        <f>B149</f>
        <v>0</v>
      </c>
      <c r="C161" s="443">
        <f>'6.Cons Profit &amp; Loss'!B11</f>
        <v>0</v>
      </c>
      <c r="D161" s="443">
        <f>'6.Cons Profit &amp; Loss'!C11</f>
        <v>0</v>
      </c>
      <c r="E161" s="443">
        <f>'6.Cons Profit &amp; Loss'!D11</f>
        <v>0</v>
      </c>
      <c r="F161" s="443">
        <f>'6.Cons Profit &amp; Loss'!E11</f>
        <v>0</v>
      </c>
      <c r="G161" s="443">
        <f>'6.Cons Profit &amp; Loss'!F11</f>
        <v>0</v>
      </c>
      <c r="H161" s="443">
        <f>'6.Cons Profit &amp; Loss'!G11</f>
        <v>0</v>
      </c>
      <c r="I161" s="443">
        <f>'6.Cons Profit &amp; Loss'!H11</f>
        <v>0</v>
      </c>
      <c r="J161" s="347"/>
    </row>
    <row r="162" spans="2:13" ht="15.75" customHeight="1">
      <c r="B162" s="370" t="s">
        <v>483</v>
      </c>
      <c r="C162" s="443">
        <f t="shared" ref="C162:I162" si="24">SUM(C158:C161)</f>
        <v>200841571.53352499</v>
      </c>
      <c r="D162" s="443">
        <f t="shared" si="24"/>
        <v>229343696.56894454</v>
      </c>
      <c r="E162" s="443">
        <f t="shared" si="24"/>
        <v>255068550.63141665</v>
      </c>
      <c r="F162" s="443">
        <f t="shared" si="24"/>
        <v>281609863.11064368</v>
      </c>
      <c r="G162" s="443">
        <f t="shared" si="24"/>
        <v>308967634.00662577</v>
      </c>
      <c r="H162" s="443">
        <f t="shared" si="24"/>
        <v>337009863.31936288</v>
      </c>
      <c r="I162" s="443">
        <f t="shared" si="24"/>
        <v>365863751.04885501</v>
      </c>
      <c r="J162" s="347"/>
    </row>
    <row r="163" spans="2:13" ht="15.75" customHeight="1">
      <c r="B163" s="370" t="s">
        <v>484</v>
      </c>
      <c r="C163" s="443"/>
      <c r="D163" s="443"/>
      <c r="E163" s="443"/>
      <c r="F163" s="443"/>
      <c r="G163" s="443"/>
      <c r="H163" s="443"/>
      <c r="I163" s="443"/>
      <c r="J163" s="347"/>
    </row>
    <row r="164" spans="2:13" ht="15.75" customHeight="1">
      <c r="B164" s="370" t="s">
        <v>485</v>
      </c>
      <c r="C164" s="443">
        <f>'6.Cons Profit &amp; Loss'!B26</f>
        <v>1419000</v>
      </c>
      <c r="D164" s="443">
        <f>'6.Cons Profit &amp; Loss'!C26</f>
        <v>1469070</v>
      </c>
      <c r="E164" s="443">
        <f>'6.Cons Profit &amp; Loss'!D26</f>
        <v>1520947.5</v>
      </c>
      <c r="F164" s="443">
        <f>'6.Cons Profit &amp; Loss'!E26</f>
        <v>1574722.875</v>
      </c>
      <c r="G164" s="443">
        <f>'6.Cons Profit &amp; Loss'!F26</f>
        <v>1630491.0187500003</v>
      </c>
      <c r="H164" s="443">
        <f>'6.Cons Profit &amp; Loss'!G26</f>
        <v>1688351.5696875001</v>
      </c>
      <c r="I164" s="443">
        <f>'6.Cons Profit &amp; Loss'!H26</f>
        <v>1748409.1481718756</v>
      </c>
      <c r="J164" s="347"/>
    </row>
    <row r="165" spans="2:13" ht="15.75" customHeight="1">
      <c r="B165" s="370" t="s">
        <v>352</v>
      </c>
      <c r="C165" s="443">
        <f>'6.Cons Profit &amp; Loss'!B19*(1-$M$124)</f>
        <v>186134844.52833164</v>
      </c>
      <c r="D165" s="443">
        <f>'6.Cons Profit &amp; Loss'!C19*(1-$M$124)</f>
        <v>213003620.43712297</v>
      </c>
      <c r="E165" s="443">
        <f>'6.Cons Profit &amp; Loss'!D19*(1-$M$124)</f>
        <v>236897285.09104055</v>
      </c>
      <c r="F165" s="443">
        <f>'6.Cons Profit &amp; Loss'!E19*(1-$M$124)</f>
        <v>261539282.90336391</v>
      </c>
      <c r="G165" s="443">
        <f>'6.Cons Profit &amp; Loss'!F19*(1-$M$124)</f>
        <v>286938221.55837071</v>
      </c>
      <c r="H165" s="443">
        <f>'6.Cons Profit &amp; Loss'!G19*(1-$M$124)</f>
        <v>313094101.05606055</v>
      </c>
      <c r="I165" s="443">
        <f>'6.Cons Profit &amp; Loss'!H19*(1-$M$124)</f>
        <v>340006921.39643377</v>
      </c>
      <c r="J165" s="347"/>
    </row>
    <row r="166" spans="2:13" ht="15.75" customHeight="1">
      <c r="B166" s="370" t="s">
        <v>486</v>
      </c>
      <c r="C166" s="443">
        <f t="shared" ref="C166:I166" si="25">SUM(C164:C165)</f>
        <v>187553844.52833164</v>
      </c>
      <c r="D166" s="443">
        <f t="shared" si="25"/>
        <v>214472690.43712297</v>
      </c>
      <c r="E166" s="443">
        <f t="shared" si="25"/>
        <v>238418232.59104055</v>
      </c>
      <c r="F166" s="443">
        <f t="shared" si="25"/>
        <v>263114005.77836391</v>
      </c>
      <c r="G166" s="443">
        <f t="shared" si="25"/>
        <v>288568712.57712072</v>
      </c>
      <c r="H166" s="443">
        <f t="shared" si="25"/>
        <v>314782452.62574804</v>
      </c>
      <c r="I166" s="443">
        <f t="shared" si="25"/>
        <v>341755330.54460567</v>
      </c>
      <c r="J166" s="347"/>
    </row>
    <row r="167" spans="2:13" ht="15.75" customHeight="1">
      <c r="B167" s="391" t="s">
        <v>487</v>
      </c>
      <c r="C167" s="447">
        <f t="shared" ref="C167:I167" si="26">+C162-C166</f>
        <v>13287727.005193353</v>
      </c>
      <c r="D167" s="447">
        <f t="shared" si="26"/>
        <v>14871006.131821573</v>
      </c>
      <c r="E167" s="447">
        <f t="shared" si="26"/>
        <v>16650318.040376097</v>
      </c>
      <c r="F167" s="447">
        <f t="shared" si="26"/>
        <v>18495857.332279772</v>
      </c>
      <c r="G167" s="447">
        <f t="shared" si="26"/>
        <v>20398921.42950505</v>
      </c>
      <c r="H167" s="447">
        <f t="shared" si="26"/>
        <v>22227410.693614841</v>
      </c>
      <c r="I167" s="447">
        <f t="shared" si="26"/>
        <v>24108420.504249334</v>
      </c>
      <c r="J167" s="347"/>
    </row>
    <row r="168" spans="2:13" ht="15.75" customHeight="1">
      <c r="B168" s="347"/>
      <c r="C168" s="347"/>
      <c r="D168" s="347"/>
      <c r="E168" s="347"/>
      <c r="F168" s="347"/>
      <c r="G168" s="347"/>
      <c r="H168" s="347"/>
      <c r="I168" s="347"/>
      <c r="J168" s="347"/>
    </row>
    <row r="169" spans="2:13" ht="40.5" customHeight="1">
      <c r="B169" s="448" t="s">
        <v>491</v>
      </c>
      <c r="C169" s="346"/>
      <c r="D169" s="346"/>
      <c r="E169" s="346"/>
      <c r="F169" s="346"/>
      <c r="G169" s="346"/>
      <c r="H169" s="346"/>
      <c r="I169" s="346"/>
      <c r="J169" s="449"/>
      <c r="K169" s="145"/>
      <c r="L169" s="145"/>
      <c r="M169" s="145"/>
    </row>
    <row r="170" spans="2:13" ht="15" customHeight="1">
      <c r="B170" s="347"/>
      <c r="C170" s="347"/>
      <c r="D170" s="347"/>
      <c r="E170" s="347"/>
      <c r="F170" s="347"/>
      <c r="G170" s="347"/>
      <c r="H170" s="347"/>
      <c r="I170" s="347"/>
      <c r="J170" s="347"/>
    </row>
    <row r="171" spans="2:13" ht="15" customHeight="1">
      <c r="B171" s="347"/>
      <c r="C171" s="347"/>
      <c r="D171" s="347"/>
      <c r="E171" s="347"/>
      <c r="F171" s="347"/>
      <c r="G171" s="347"/>
      <c r="H171" s="347"/>
      <c r="I171" s="347"/>
      <c r="J171" s="347"/>
    </row>
  </sheetData>
  <mergeCells count="20">
    <mergeCell ref="B26:I26"/>
    <mergeCell ref="B24:J24"/>
    <mergeCell ref="B48:J48"/>
    <mergeCell ref="B51:J51"/>
    <mergeCell ref="B120:I120"/>
    <mergeCell ref="B169:I169"/>
    <mergeCell ref="B87:J87"/>
    <mergeCell ref="K120:R120"/>
    <mergeCell ref="B5:J5"/>
    <mergeCell ref="D20:J20"/>
    <mergeCell ref="C81:I81"/>
    <mergeCell ref="B85:I85"/>
    <mergeCell ref="B118:J118"/>
    <mergeCell ref="B72:J72"/>
    <mergeCell ref="B74:I74"/>
    <mergeCell ref="C80:I80"/>
    <mergeCell ref="B100:J100"/>
    <mergeCell ref="B102:I102"/>
    <mergeCell ref="C83:I83"/>
    <mergeCell ref="D22:J22"/>
  </mergeCells>
  <hyperlinks>
    <hyperlink ref="B24" r:id="rId1" xr:uid="{00000000-0004-0000-0B00-000000000000}"/>
  </hyperlinks>
  <pageMargins left="0.7" right="0.7" top="0.75" bottom="0.75" header="0" footer="0"/>
  <pageSetup scale="49" orientation="portrait" r:id="rId2"/>
  <rowBreaks count="2" manualBreakCount="2">
    <brk id="49" max="16383" man="1"/>
    <brk id="100" max="16383" man="1"/>
  </rowBreaks>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32"/>
  <sheetViews>
    <sheetView workbookViewId="0">
      <selection sqref="A1:H1"/>
    </sheetView>
  </sheetViews>
  <sheetFormatPr defaultColWidth="14.42578125" defaultRowHeight="15" customHeight="1"/>
  <cols>
    <col min="1" max="1" width="44.28515625" customWidth="1"/>
    <col min="2" max="2" width="23.28515625" customWidth="1"/>
    <col min="3" max="3" width="11.5703125" customWidth="1"/>
    <col min="4" max="4" width="18.85546875" customWidth="1"/>
    <col min="5" max="5" width="15.140625" customWidth="1"/>
    <col min="6" max="7" width="15.85546875" customWidth="1"/>
    <col min="8" max="8" width="21.28515625" customWidth="1"/>
    <col min="9" max="9" width="11.42578125" customWidth="1"/>
    <col min="10" max="10" width="9.140625" customWidth="1"/>
    <col min="11" max="26" width="8.7109375" customWidth="1"/>
  </cols>
  <sheetData>
    <row r="1" spans="1:26" ht="18.75">
      <c r="A1" s="267" t="s">
        <v>536</v>
      </c>
      <c r="B1" s="251"/>
      <c r="C1" s="251"/>
      <c r="D1" s="251"/>
      <c r="E1" s="251"/>
      <c r="F1" s="251"/>
      <c r="G1" s="251"/>
      <c r="H1" s="251"/>
    </row>
    <row r="2" spans="1:26">
      <c r="B2" s="131"/>
    </row>
    <row r="3" spans="1:26" ht="18.75">
      <c r="A3" s="302" t="s">
        <v>537</v>
      </c>
      <c r="B3" s="253"/>
    </row>
    <row r="4" spans="1:26">
      <c r="A4" s="146" t="s">
        <v>150</v>
      </c>
      <c r="B4" s="147" t="s">
        <v>161</v>
      </c>
      <c r="C4" s="148"/>
      <c r="D4" s="148"/>
      <c r="E4" s="148"/>
      <c r="F4" s="148"/>
      <c r="G4" s="148"/>
      <c r="H4" s="148"/>
    </row>
    <row r="5" spans="1:26">
      <c r="A5" s="115" t="s">
        <v>538</v>
      </c>
      <c r="B5" s="149"/>
      <c r="D5" s="150"/>
      <c r="E5" s="150"/>
      <c r="F5" s="150"/>
      <c r="G5" s="150"/>
      <c r="H5" s="150"/>
    </row>
    <row r="6" spans="1:26">
      <c r="A6" s="115" t="s">
        <v>539</v>
      </c>
      <c r="B6" s="149"/>
      <c r="D6" s="150"/>
      <c r="E6" s="150"/>
      <c r="F6" s="150"/>
      <c r="G6" s="150"/>
      <c r="H6" s="150"/>
    </row>
    <row r="7" spans="1:26">
      <c r="A7" s="151" t="s">
        <v>88</v>
      </c>
      <c r="B7" s="151">
        <f>B5+B6</f>
        <v>0</v>
      </c>
      <c r="C7" s="135"/>
      <c r="D7" s="152"/>
      <c r="E7" s="152"/>
      <c r="F7" s="152"/>
      <c r="G7" s="152"/>
      <c r="H7" s="152"/>
    </row>
    <row r="8" spans="1:26">
      <c r="A8" s="151" t="s">
        <v>540</v>
      </c>
      <c r="B8" s="153">
        <v>1</v>
      </c>
      <c r="C8" s="135"/>
      <c r="D8" s="135"/>
      <c r="E8" s="135"/>
      <c r="F8" s="135"/>
      <c r="G8" s="135"/>
      <c r="H8" s="135"/>
    </row>
    <row r="9" spans="1:26">
      <c r="A9" s="151" t="s">
        <v>541</v>
      </c>
      <c r="B9" s="151">
        <f>B7*B8</f>
        <v>0</v>
      </c>
      <c r="C9" s="152"/>
      <c r="D9" s="152"/>
      <c r="E9" s="152"/>
      <c r="F9" s="152"/>
      <c r="G9" s="152"/>
      <c r="H9" s="152"/>
    </row>
    <row r="10" spans="1:26">
      <c r="J10" t="s">
        <v>498</v>
      </c>
      <c r="O10" t="s">
        <v>322</v>
      </c>
      <c r="U10" t="s">
        <v>16</v>
      </c>
      <c r="Y10" t="s">
        <v>499</v>
      </c>
      <c r="Z10" t="s">
        <v>500</v>
      </c>
    </row>
    <row r="11" spans="1:26" ht="18.75">
      <c r="A11" s="267" t="s">
        <v>542</v>
      </c>
      <c r="B11" s="251"/>
      <c r="C11" s="251"/>
      <c r="D11" s="251"/>
      <c r="E11" s="251"/>
      <c r="F11" s="251"/>
      <c r="G11" s="251"/>
      <c r="H11" s="251"/>
      <c r="I11" s="135"/>
      <c r="J11" s="135"/>
      <c r="K11" s="135"/>
      <c r="L11" s="135"/>
      <c r="M11" s="135"/>
      <c r="N11" s="135"/>
      <c r="O11" s="135"/>
      <c r="P11" s="135"/>
    </row>
    <row r="12" spans="1:26">
      <c r="J12" s="131">
        <v>0.65</v>
      </c>
      <c r="K12" s="154">
        <f t="shared" ref="K12:N12" si="0">J12+0.05</f>
        <v>0.70000000000000007</v>
      </c>
      <c r="L12" s="154">
        <f t="shared" si="0"/>
        <v>0.75000000000000011</v>
      </c>
      <c r="M12" s="154">
        <f t="shared" si="0"/>
        <v>0.80000000000000016</v>
      </c>
      <c r="N12" s="154">
        <f t="shared" si="0"/>
        <v>0.8500000000000002</v>
      </c>
      <c r="O12" s="131">
        <v>0.4</v>
      </c>
      <c r="P12" s="131">
        <f t="shared" ref="P12:T12" si="1">O12+0.05</f>
        <v>0.45</v>
      </c>
      <c r="Q12" s="131">
        <f t="shared" si="1"/>
        <v>0.5</v>
      </c>
      <c r="R12" s="131">
        <f t="shared" si="1"/>
        <v>0.55000000000000004</v>
      </c>
      <c r="S12" s="131">
        <f t="shared" si="1"/>
        <v>0.60000000000000009</v>
      </c>
      <c r="T12" s="131">
        <f t="shared" si="1"/>
        <v>0.65000000000000013</v>
      </c>
      <c r="U12" s="131">
        <v>0.1</v>
      </c>
      <c r="V12" s="140">
        <f t="shared" ref="V12:X12" si="2">U12+0.05</f>
        <v>0.15000000000000002</v>
      </c>
      <c r="W12" s="140">
        <f t="shared" si="2"/>
        <v>0.2</v>
      </c>
      <c r="X12" s="140">
        <f t="shared" si="2"/>
        <v>0.25</v>
      </c>
    </row>
    <row r="13" spans="1:26" ht="45">
      <c r="A13" s="146" t="s">
        <v>502</v>
      </c>
      <c r="B13" s="146" t="s">
        <v>503</v>
      </c>
      <c r="C13" s="155" t="s">
        <v>504</v>
      </c>
      <c r="D13" s="155" t="s">
        <v>505</v>
      </c>
      <c r="E13" s="155" t="s">
        <v>506</v>
      </c>
      <c r="F13" s="155" t="s">
        <v>507</v>
      </c>
      <c r="G13" s="155" t="s">
        <v>508</v>
      </c>
      <c r="H13" s="155" t="s">
        <v>509</v>
      </c>
      <c r="O13" s="156" t="s">
        <v>153</v>
      </c>
      <c r="P13" s="156" t="s">
        <v>154</v>
      </c>
      <c r="Q13" s="156" t="s">
        <v>155</v>
      </c>
      <c r="R13" s="156" t="s">
        <v>156</v>
      </c>
      <c r="S13" s="156" t="s">
        <v>157</v>
      </c>
      <c r="T13" s="156" t="s">
        <v>153</v>
      </c>
      <c r="U13" s="156" t="s">
        <v>154</v>
      </c>
      <c r="V13" s="156" t="s">
        <v>155</v>
      </c>
      <c r="W13" s="156" t="s">
        <v>156</v>
      </c>
      <c r="X13" s="156" t="s">
        <v>157</v>
      </c>
    </row>
    <row r="14" spans="1:26">
      <c r="A14" s="313" t="s">
        <v>510</v>
      </c>
      <c r="B14" s="149" t="s">
        <v>543</v>
      </c>
      <c r="C14" s="157">
        <v>0</v>
      </c>
      <c r="D14" s="115">
        <f t="shared" ref="D14:D22" si="3">$B$9*C14</f>
        <v>0</v>
      </c>
      <c r="E14" s="158">
        <v>15</v>
      </c>
      <c r="F14" s="115">
        <f t="shared" ref="F14:F22" si="4">D14*E14</f>
        <v>0</v>
      </c>
      <c r="G14" s="159">
        <v>0.1</v>
      </c>
      <c r="H14" s="115">
        <f t="shared" ref="H14:H22" si="5">(F14-F14*G14)</f>
        <v>0</v>
      </c>
      <c r="J14">
        <f t="shared" ref="J14:N14" si="6">$D$14*J12</f>
        <v>0</v>
      </c>
      <c r="K14">
        <f t="shared" si="6"/>
        <v>0</v>
      </c>
      <c r="L14">
        <f t="shared" si="6"/>
        <v>0</v>
      </c>
      <c r="M14">
        <f t="shared" si="6"/>
        <v>0</v>
      </c>
      <c r="N14">
        <f t="shared" si="6"/>
        <v>0</v>
      </c>
    </row>
    <row r="15" spans="1:26">
      <c r="A15" s="260"/>
      <c r="B15" s="149" t="s">
        <v>544</v>
      </c>
      <c r="C15" s="157">
        <v>0</v>
      </c>
      <c r="D15" s="115">
        <f t="shared" si="3"/>
        <v>0</v>
      </c>
      <c r="E15" s="158">
        <v>7</v>
      </c>
      <c r="F15" s="115">
        <f t="shared" si="4"/>
        <v>0</v>
      </c>
      <c r="G15" s="159">
        <v>0.05</v>
      </c>
      <c r="H15" s="115">
        <f t="shared" si="5"/>
        <v>0</v>
      </c>
    </row>
    <row r="16" spans="1:26">
      <c r="A16" s="260"/>
      <c r="B16" s="149" t="s">
        <v>545</v>
      </c>
      <c r="C16" s="157">
        <v>0</v>
      </c>
      <c r="D16" s="115">
        <f t="shared" si="3"/>
        <v>0</v>
      </c>
      <c r="E16" s="158">
        <v>4</v>
      </c>
      <c r="F16" s="115">
        <f t="shared" si="4"/>
        <v>0</v>
      </c>
      <c r="G16" s="159">
        <v>0</v>
      </c>
      <c r="H16" s="115">
        <f t="shared" si="5"/>
        <v>0</v>
      </c>
    </row>
    <row r="17" spans="1:8">
      <c r="A17" s="260"/>
      <c r="B17" s="149" t="s">
        <v>546</v>
      </c>
      <c r="C17" s="157">
        <v>0</v>
      </c>
      <c r="D17" s="115">
        <f t="shared" si="3"/>
        <v>0</v>
      </c>
      <c r="E17" s="158">
        <v>7</v>
      </c>
      <c r="F17" s="115">
        <f t="shared" si="4"/>
        <v>0</v>
      </c>
      <c r="G17" s="159">
        <v>0.02</v>
      </c>
      <c r="H17" s="115">
        <f t="shared" si="5"/>
        <v>0</v>
      </c>
    </row>
    <row r="18" spans="1:8">
      <c r="A18" s="260"/>
      <c r="B18" s="149" t="s">
        <v>547</v>
      </c>
      <c r="C18" s="157">
        <v>0</v>
      </c>
      <c r="D18" s="115">
        <f t="shared" si="3"/>
        <v>0</v>
      </c>
      <c r="E18" s="158">
        <v>20</v>
      </c>
      <c r="F18" s="115">
        <f t="shared" si="4"/>
        <v>0</v>
      </c>
      <c r="G18" s="159">
        <v>0</v>
      </c>
      <c r="H18" s="115">
        <f t="shared" si="5"/>
        <v>0</v>
      </c>
    </row>
    <row r="19" spans="1:8">
      <c r="A19" s="260"/>
      <c r="B19" s="149"/>
      <c r="C19" s="157">
        <v>0</v>
      </c>
      <c r="D19" s="115">
        <f t="shared" si="3"/>
        <v>0</v>
      </c>
      <c r="E19" s="158">
        <v>7</v>
      </c>
      <c r="F19" s="115">
        <f t="shared" si="4"/>
        <v>0</v>
      </c>
      <c r="G19" s="159">
        <v>0.1</v>
      </c>
      <c r="H19" s="115">
        <f t="shared" si="5"/>
        <v>0</v>
      </c>
    </row>
    <row r="20" spans="1:8">
      <c r="A20" s="260"/>
      <c r="B20" s="149"/>
      <c r="C20" s="157">
        <v>0</v>
      </c>
      <c r="D20" s="115">
        <f t="shared" si="3"/>
        <v>0</v>
      </c>
      <c r="E20" s="158">
        <v>6</v>
      </c>
      <c r="F20" s="115">
        <f t="shared" si="4"/>
        <v>0</v>
      </c>
      <c r="G20" s="159">
        <v>0.02</v>
      </c>
      <c r="H20" s="115">
        <f t="shared" si="5"/>
        <v>0</v>
      </c>
    </row>
    <row r="21" spans="1:8" ht="15.75" customHeight="1">
      <c r="A21" s="260"/>
      <c r="B21" s="149"/>
      <c r="C21" s="157">
        <v>0</v>
      </c>
      <c r="D21" s="115">
        <f t="shared" si="3"/>
        <v>0</v>
      </c>
      <c r="E21" s="158"/>
      <c r="F21" s="115">
        <f t="shared" si="4"/>
        <v>0</v>
      </c>
      <c r="G21" s="159">
        <v>0</v>
      </c>
      <c r="H21" s="115">
        <f t="shared" si="5"/>
        <v>0</v>
      </c>
    </row>
    <row r="22" spans="1:8" ht="15.75" customHeight="1">
      <c r="A22" s="261"/>
      <c r="B22" s="149"/>
      <c r="C22" s="157">
        <v>0</v>
      </c>
      <c r="D22" s="115">
        <f t="shared" si="3"/>
        <v>0</v>
      </c>
      <c r="E22" s="158"/>
      <c r="F22" s="115">
        <f t="shared" si="4"/>
        <v>0</v>
      </c>
      <c r="G22" s="159">
        <v>0</v>
      </c>
      <c r="H22" s="115">
        <f t="shared" si="5"/>
        <v>0</v>
      </c>
    </row>
    <row r="23" spans="1:8" ht="15.75" customHeight="1">
      <c r="A23" s="167" t="s">
        <v>548</v>
      </c>
      <c r="B23" s="157"/>
      <c r="C23" s="149">
        <f>B9*B23</f>
        <v>0</v>
      </c>
      <c r="D23" s="115"/>
      <c r="E23" s="158"/>
      <c r="F23" s="115"/>
      <c r="G23" s="159"/>
      <c r="H23" s="115"/>
    </row>
    <row r="24" spans="1:8" ht="15.75" customHeight="1">
      <c r="A24" s="313" t="s">
        <v>521</v>
      </c>
      <c r="B24" s="149" t="s">
        <v>543</v>
      </c>
      <c r="C24" s="157">
        <v>0</v>
      </c>
      <c r="D24" s="115">
        <f t="shared" ref="D24:D31" si="7">C$23*C24</f>
        <v>0</v>
      </c>
      <c r="E24" s="158">
        <v>10</v>
      </c>
      <c r="F24" s="115">
        <f t="shared" ref="F24:F31" si="8">D24*E24</f>
        <v>0</v>
      </c>
      <c r="G24" s="159">
        <v>0.1</v>
      </c>
      <c r="H24" s="115">
        <f t="shared" ref="H24:H31" si="9">(F24-F24*G24)</f>
        <v>0</v>
      </c>
    </row>
    <row r="25" spans="1:8" ht="15.75" customHeight="1">
      <c r="A25" s="260"/>
      <c r="B25" s="149" t="s">
        <v>544</v>
      </c>
      <c r="C25" s="157">
        <v>0</v>
      </c>
      <c r="D25" s="115">
        <f t="shared" si="7"/>
        <v>0</v>
      </c>
      <c r="E25" s="158">
        <v>10</v>
      </c>
      <c r="F25" s="115">
        <f t="shared" si="8"/>
        <v>0</v>
      </c>
      <c r="G25" s="159">
        <v>0.1</v>
      </c>
      <c r="H25" s="115">
        <f t="shared" si="9"/>
        <v>0</v>
      </c>
    </row>
    <row r="26" spans="1:8" ht="15.75" customHeight="1">
      <c r="A26" s="260"/>
      <c r="B26" s="149" t="s">
        <v>545</v>
      </c>
      <c r="C26" s="157">
        <v>0</v>
      </c>
      <c r="D26" s="115">
        <f t="shared" si="7"/>
        <v>0</v>
      </c>
      <c r="E26" s="158">
        <v>10</v>
      </c>
      <c r="F26" s="115">
        <f t="shared" si="8"/>
        <v>0</v>
      </c>
      <c r="G26" s="159">
        <v>0.05</v>
      </c>
      <c r="H26" s="115">
        <f t="shared" si="9"/>
        <v>0</v>
      </c>
    </row>
    <row r="27" spans="1:8" ht="15.75" customHeight="1">
      <c r="A27" s="260"/>
      <c r="B27" s="149" t="s">
        <v>546</v>
      </c>
      <c r="C27" s="157">
        <v>0</v>
      </c>
      <c r="D27" s="115">
        <f t="shared" si="7"/>
        <v>0</v>
      </c>
      <c r="E27" s="158">
        <v>20</v>
      </c>
      <c r="F27" s="115">
        <f t="shared" si="8"/>
        <v>0</v>
      </c>
      <c r="G27" s="159">
        <v>0</v>
      </c>
      <c r="H27" s="115">
        <f t="shared" si="9"/>
        <v>0</v>
      </c>
    </row>
    <row r="28" spans="1:8" ht="15.75" customHeight="1">
      <c r="A28" s="260"/>
      <c r="B28" s="149" t="s">
        <v>549</v>
      </c>
      <c r="C28" s="157">
        <v>0</v>
      </c>
      <c r="D28" s="115">
        <f t="shared" si="7"/>
        <v>0</v>
      </c>
      <c r="E28" s="158"/>
      <c r="F28" s="115">
        <f t="shared" si="8"/>
        <v>0</v>
      </c>
      <c r="G28" s="159">
        <v>0</v>
      </c>
      <c r="H28" s="115">
        <f t="shared" si="9"/>
        <v>0</v>
      </c>
    </row>
    <row r="29" spans="1:8" ht="15.75" customHeight="1">
      <c r="A29" s="260"/>
      <c r="B29" s="149"/>
      <c r="C29" s="157">
        <v>0</v>
      </c>
      <c r="D29" s="115">
        <f t="shared" si="7"/>
        <v>0</v>
      </c>
      <c r="E29" s="158"/>
      <c r="F29" s="115">
        <f t="shared" si="8"/>
        <v>0</v>
      </c>
      <c r="G29" s="159">
        <v>0</v>
      </c>
      <c r="H29" s="115">
        <f t="shared" si="9"/>
        <v>0</v>
      </c>
    </row>
    <row r="30" spans="1:8" ht="15.75" customHeight="1">
      <c r="A30" s="260"/>
      <c r="B30" s="149"/>
      <c r="C30" s="157">
        <v>0</v>
      </c>
      <c r="D30" s="115">
        <f t="shared" si="7"/>
        <v>0</v>
      </c>
      <c r="E30" s="158"/>
      <c r="F30" s="115">
        <f t="shared" si="8"/>
        <v>0</v>
      </c>
      <c r="G30" s="159">
        <v>0</v>
      </c>
      <c r="H30" s="115">
        <f t="shared" si="9"/>
        <v>0</v>
      </c>
    </row>
    <row r="31" spans="1:8" ht="15.75" customHeight="1">
      <c r="A31" s="261"/>
      <c r="B31" s="149"/>
      <c r="C31" s="157">
        <v>0</v>
      </c>
      <c r="D31" s="115">
        <f t="shared" si="7"/>
        <v>0</v>
      </c>
      <c r="E31" s="158"/>
      <c r="F31" s="115">
        <f t="shared" si="8"/>
        <v>0</v>
      </c>
      <c r="G31" s="159">
        <v>0</v>
      </c>
      <c r="H31" s="115">
        <f t="shared" si="9"/>
        <v>0</v>
      </c>
    </row>
    <row r="32" spans="1:8" ht="15.75" customHeight="1">
      <c r="A32" s="167" t="s">
        <v>550</v>
      </c>
      <c r="B32" s="157"/>
      <c r="C32" s="149">
        <f>B9*B32</f>
        <v>0</v>
      </c>
      <c r="D32" s="115"/>
      <c r="E32" s="158"/>
      <c r="F32" s="115"/>
      <c r="G32" s="159"/>
      <c r="H32" s="115"/>
    </row>
    <row r="33" spans="1:8" ht="15.75" customHeight="1">
      <c r="A33" s="161" t="s">
        <v>526</v>
      </c>
      <c r="B33" s="149"/>
      <c r="C33" s="157">
        <v>0</v>
      </c>
      <c r="D33" s="115">
        <f t="shared" ref="D33:D36" si="10">C$32*C33</f>
        <v>0</v>
      </c>
      <c r="E33" s="158"/>
      <c r="F33" s="115">
        <f t="shared" ref="F33:F40" si="11">D33*E33</f>
        <v>0</v>
      </c>
      <c r="G33" s="159">
        <v>0</v>
      </c>
      <c r="H33" s="115">
        <f t="shared" ref="H33:H40" si="12">(F33-F33*G33)</f>
        <v>0</v>
      </c>
    </row>
    <row r="34" spans="1:8" ht="15.75" customHeight="1">
      <c r="A34" s="8"/>
      <c r="B34" s="149"/>
      <c r="C34" s="157">
        <v>0</v>
      </c>
      <c r="D34" s="115">
        <f t="shared" si="10"/>
        <v>0</v>
      </c>
      <c r="E34" s="158"/>
      <c r="F34" s="115">
        <f t="shared" si="11"/>
        <v>0</v>
      </c>
      <c r="G34" s="159">
        <v>0</v>
      </c>
      <c r="H34" s="115">
        <f t="shared" si="12"/>
        <v>0</v>
      </c>
    </row>
    <row r="35" spans="1:8" ht="15.75" customHeight="1">
      <c r="A35" s="8"/>
      <c r="B35" s="149"/>
      <c r="C35" s="157">
        <v>0</v>
      </c>
      <c r="D35" s="115">
        <f t="shared" si="10"/>
        <v>0</v>
      </c>
      <c r="E35" s="158"/>
      <c r="F35" s="115">
        <f t="shared" si="11"/>
        <v>0</v>
      </c>
      <c r="G35" s="159">
        <v>0</v>
      </c>
      <c r="H35" s="115">
        <f t="shared" si="12"/>
        <v>0</v>
      </c>
    </row>
    <row r="36" spans="1:8" ht="15.75" customHeight="1">
      <c r="A36" s="162"/>
      <c r="B36" s="149"/>
      <c r="C36" s="157">
        <v>0</v>
      </c>
      <c r="D36" s="115">
        <f t="shared" si="10"/>
        <v>0</v>
      </c>
      <c r="E36" s="158"/>
      <c r="F36" s="115">
        <f t="shared" si="11"/>
        <v>0</v>
      </c>
      <c r="G36" s="159">
        <v>0</v>
      </c>
      <c r="H36" s="115">
        <f t="shared" si="12"/>
        <v>0</v>
      </c>
    </row>
    <row r="37" spans="1:8" ht="15.75" customHeight="1">
      <c r="A37" s="312" t="s">
        <v>551</v>
      </c>
      <c r="B37" s="149" t="s">
        <v>327</v>
      </c>
      <c r="C37" s="157">
        <v>0</v>
      </c>
      <c r="D37" s="115">
        <f t="shared" ref="D37:D40" si="13">$B$9*C37</f>
        <v>0</v>
      </c>
      <c r="E37" s="158">
        <v>6</v>
      </c>
      <c r="F37" s="115">
        <f t="shared" si="11"/>
        <v>0</v>
      </c>
      <c r="G37" s="159">
        <v>0.05</v>
      </c>
      <c r="H37" s="115">
        <f t="shared" si="12"/>
        <v>0</v>
      </c>
    </row>
    <row r="38" spans="1:8" ht="15.75" customHeight="1">
      <c r="A38" s="260"/>
      <c r="B38" s="149" t="s">
        <v>552</v>
      </c>
      <c r="C38" s="157">
        <v>0</v>
      </c>
      <c r="D38" s="115">
        <f t="shared" si="13"/>
        <v>0</v>
      </c>
      <c r="E38" s="158"/>
      <c r="F38" s="115">
        <f t="shared" si="11"/>
        <v>0</v>
      </c>
      <c r="G38" s="159">
        <v>0</v>
      </c>
      <c r="H38" s="115">
        <f t="shared" si="12"/>
        <v>0</v>
      </c>
    </row>
    <row r="39" spans="1:8" ht="15.75" customHeight="1">
      <c r="A39" s="260"/>
      <c r="B39" s="149" t="s">
        <v>553</v>
      </c>
      <c r="C39" s="157">
        <v>0</v>
      </c>
      <c r="D39" s="115">
        <f t="shared" si="13"/>
        <v>0</v>
      </c>
      <c r="E39" s="158"/>
      <c r="F39" s="115">
        <f t="shared" si="11"/>
        <v>0</v>
      </c>
      <c r="G39" s="159">
        <v>0</v>
      </c>
      <c r="H39" s="115">
        <f t="shared" si="12"/>
        <v>0</v>
      </c>
    </row>
    <row r="40" spans="1:8" ht="15.75" customHeight="1">
      <c r="A40" s="261"/>
      <c r="B40" s="149" t="s">
        <v>554</v>
      </c>
      <c r="C40" s="157">
        <v>0</v>
      </c>
      <c r="D40" s="115">
        <f t="shared" si="13"/>
        <v>0</v>
      </c>
      <c r="E40" s="158"/>
      <c r="F40" s="115">
        <f t="shared" si="11"/>
        <v>0</v>
      </c>
      <c r="G40" s="159">
        <v>0</v>
      </c>
      <c r="H40" s="115">
        <f t="shared" si="12"/>
        <v>0</v>
      </c>
    </row>
    <row r="41" spans="1:8" ht="15.75" customHeight="1">
      <c r="A41" s="303" t="s">
        <v>528</v>
      </c>
      <c r="B41" s="251"/>
      <c r="C41" s="251"/>
      <c r="D41" s="251"/>
      <c r="E41" s="251"/>
      <c r="F41" s="251"/>
      <c r="G41" s="251"/>
      <c r="H41" s="251"/>
    </row>
    <row r="42" spans="1:8" ht="15.75" customHeight="1"/>
    <row r="43" spans="1:8" ht="15.75" customHeight="1">
      <c r="A43" s="304" t="s">
        <v>555</v>
      </c>
      <c r="B43" s="255"/>
      <c r="C43" s="255"/>
      <c r="D43" s="255"/>
      <c r="E43" s="255"/>
      <c r="F43" s="255"/>
      <c r="G43" s="255"/>
      <c r="H43" s="256"/>
    </row>
    <row r="44" spans="1:8" ht="15.75" customHeight="1">
      <c r="A44" s="298" t="s">
        <v>150</v>
      </c>
      <c r="B44" s="163">
        <v>0.35</v>
      </c>
      <c r="C44" s="163">
        <f t="shared" ref="C44:H44" si="14">B44+0.05</f>
        <v>0.39999999999999997</v>
      </c>
      <c r="D44" s="163">
        <f t="shared" si="14"/>
        <v>0.44999999999999996</v>
      </c>
      <c r="E44" s="163">
        <f t="shared" si="14"/>
        <v>0.49999999999999994</v>
      </c>
      <c r="F44" s="163">
        <f t="shared" si="14"/>
        <v>0.54999999999999993</v>
      </c>
      <c r="G44" s="163">
        <f t="shared" si="14"/>
        <v>0.6</v>
      </c>
      <c r="H44" s="163">
        <f t="shared" si="14"/>
        <v>0.65</v>
      </c>
    </row>
    <row r="45" spans="1:8" ht="15.75" customHeight="1">
      <c r="A45" s="261"/>
      <c r="B45" s="147" t="s">
        <v>153</v>
      </c>
      <c r="C45" s="147" t="s">
        <v>154</v>
      </c>
      <c r="D45" s="147" t="s">
        <v>155</v>
      </c>
      <c r="E45" s="147" t="s">
        <v>156</v>
      </c>
      <c r="F45" s="147" t="s">
        <v>157</v>
      </c>
      <c r="G45" s="147" t="s">
        <v>158</v>
      </c>
      <c r="H45" s="147" t="s">
        <v>159</v>
      </c>
    </row>
    <row r="46" spans="1:8" ht="15.75" customHeight="1">
      <c r="A46" s="115" t="str">
        <f t="shared" ref="A46:A54" si="15">B14</f>
        <v>Onion</v>
      </c>
      <c r="B46" s="115">
        <f t="shared" ref="B46:B54" si="16">H14*$B$44</f>
        <v>0</v>
      </c>
      <c r="C46" s="115">
        <f t="shared" ref="C46:H46" si="17">(B46/B$44)*C$44</f>
        <v>0</v>
      </c>
      <c r="D46" s="115">
        <f t="shared" si="17"/>
        <v>0</v>
      </c>
      <c r="E46" s="115">
        <f t="shared" si="17"/>
        <v>0</v>
      </c>
      <c r="F46" s="115">
        <f t="shared" si="17"/>
        <v>0</v>
      </c>
      <c r="G46" s="115">
        <f t="shared" si="17"/>
        <v>0</v>
      </c>
      <c r="H46" s="115">
        <f t="shared" si="17"/>
        <v>0</v>
      </c>
    </row>
    <row r="47" spans="1:8" ht="15.75" customHeight="1">
      <c r="A47" s="115" t="str">
        <f t="shared" si="15"/>
        <v>Tomato</v>
      </c>
      <c r="B47" s="115">
        <f t="shared" si="16"/>
        <v>0</v>
      </c>
      <c r="C47" s="115">
        <f t="shared" ref="C47:H47" si="18">(B47/B$44)*C$44</f>
        <v>0</v>
      </c>
      <c r="D47" s="115">
        <f t="shared" si="18"/>
        <v>0</v>
      </c>
      <c r="E47" s="115">
        <f t="shared" si="18"/>
        <v>0</v>
      </c>
      <c r="F47" s="115">
        <f t="shared" si="18"/>
        <v>0</v>
      </c>
      <c r="G47" s="115">
        <f t="shared" si="18"/>
        <v>0</v>
      </c>
      <c r="H47" s="115">
        <f t="shared" si="18"/>
        <v>0</v>
      </c>
    </row>
    <row r="48" spans="1:8" ht="15.75" customHeight="1">
      <c r="A48" s="115" t="str">
        <f t="shared" si="15"/>
        <v>Okra</v>
      </c>
      <c r="B48" s="115">
        <f t="shared" si="16"/>
        <v>0</v>
      </c>
      <c r="C48" s="115">
        <f t="shared" ref="C48:H48" si="19">(B48/B$44)*C$44</f>
        <v>0</v>
      </c>
      <c r="D48" s="115">
        <f t="shared" si="19"/>
        <v>0</v>
      </c>
      <c r="E48" s="115">
        <f t="shared" si="19"/>
        <v>0</v>
      </c>
      <c r="F48" s="115">
        <f t="shared" si="19"/>
        <v>0</v>
      </c>
      <c r="G48" s="115">
        <f t="shared" si="19"/>
        <v>0</v>
      </c>
      <c r="H48" s="115">
        <f t="shared" si="19"/>
        <v>0</v>
      </c>
    </row>
    <row r="49" spans="1:8" ht="15.75" customHeight="1">
      <c r="A49" s="115" t="str">
        <f t="shared" si="15"/>
        <v>Chilli</v>
      </c>
      <c r="B49" s="115">
        <f t="shared" si="16"/>
        <v>0</v>
      </c>
      <c r="C49" s="115">
        <f t="shared" ref="C49:H49" si="20">(B49/B$44)*C$44</f>
        <v>0</v>
      </c>
      <c r="D49" s="115">
        <f t="shared" si="20"/>
        <v>0</v>
      </c>
      <c r="E49" s="115">
        <f t="shared" si="20"/>
        <v>0</v>
      </c>
      <c r="F49" s="115">
        <f t="shared" si="20"/>
        <v>0</v>
      </c>
      <c r="G49" s="115">
        <f t="shared" si="20"/>
        <v>0</v>
      </c>
      <c r="H49" s="115">
        <f t="shared" si="20"/>
        <v>0</v>
      </c>
    </row>
    <row r="50" spans="1:8" ht="15.75" customHeight="1">
      <c r="A50" s="115" t="str">
        <f t="shared" si="15"/>
        <v>Potato</v>
      </c>
      <c r="B50" s="115">
        <f t="shared" si="16"/>
        <v>0</v>
      </c>
      <c r="C50" s="115">
        <f t="shared" ref="C50:H50" si="21">(B50/B$44)*C$44</f>
        <v>0</v>
      </c>
      <c r="D50" s="115">
        <f t="shared" si="21"/>
        <v>0</v>
      </c>
      <c r="E50" s="115">
        <f t="shared" si="21"/>
        <v>0</v>
      </c>
      <c r="F50" s="115">
        <f t="shared" si="21"/>
        <v>0</v>
      </c>
      <c r="G50" s="115">
        <f t="shared" si="21"/>
        <v>0</v>
      </c>
      <c r="H50" s="115">
        <f t="shared" si="21"/>
        <v>0</v>
      </c>
    </row>
    <row r="51" spans="1:8" ht="15.75" customHeight="1">
      <c r="A51" s="115">
        <f t="shared" si="15"/>
        <v>0</v>
      </c>
      <c r="B51" s="115">
        <f t="shared" si="16"/>
        <v>0</v>
      </c>
      <c r="C51" s="115">
        <f t="shared" ref="C51:H51" si="22">(B51/B$44)*C$44</f>
        <v>0</v>
      </c>
      <c r="D51" s="115">
        <f t="shared" si="22"/>
        <v>0</v>
      </c>
      <c r="E51" s="115">
        <f t="shared" si="22"/>
        <v>0</v>
      </c>
      <c r="F51" s="115">
        <f t="shared" si="22"/>
        <v>0</v>
      </c>
      <c r="G51" s="115">
        <f t="shared" si="22"/>
        <v>0</v>
      </c>
      <c r="H51" s="115">
        <f t="shared" si="22"/>
        <v>0</v>
      </c>
    </row>
    <row r="52" spans="1:8" ht="15.75" customHeight="1">
      <c r="A52" s="115">
        <f t="shared" si="15"/>
        <v>0</v>
      </c>
      <c r="B52" s="115">
        <f t="shared" si="16"/>
        <v>0</v>
      </c>
      <c r="C52" s="115">
        <f t="shared" ref="C52:H52" si="23">(B52/B$44)*C$44</f>
        <v>0</v>
      </c>
      <c r="D52" s="115">
        <f t="shared" si="23"/>
        <v>0</v>
      </c>
      <c r="E52" s="115">
        <f t="shared" si="23"/>
        <v>0</v>
      </c>
      <c r="F52" s="115">
        <f t="shared" si="23"/>
        <v>0</v>
      </c>
      <c r="G52" s="115">
        <f t="shared" si="23"/>
        <v>0</v>
      </c>
      <c r="H52" s="115">
        <f t="shared" si="23"/>
        <v>0</v>
      </c>
    </row>
    <row r="53" spans="1:8" ht="15.75" customHeight="1">
      <c r="A53" s="115">
        <f t="shared" si="15"/>
        <v>0</v>
      </c>
      <c r="B53" s="115">
        <f t="shared" si="16"/>
        <v>0</v>
      </c>
      <c r="C53" s="115">
        <f t="shared" ref="C53:H53" si="24">(B53/B$44)*C$44</f>
        <v>0</v>
      </c>
      <c r="D53" s="115">
        <f t="shared" si="24"/>
        <v>0</v>
      </c>
      <c r="E53" s="115">
        <f t="shared" si="24"/>
        <v>0</v>
      </c>
      <c r="F53" s="115">
        <f t="shared" si="24"/>
        <v>0</v>
      </c>
      <c r="G53" s="115">
        <f t="shared" si="24"/>
        <v>0</v>
      </c>
      <c r="H53" s="115">
        <f t="shared" si="24"/>
        <v>0</v>
      </c>
    </row>
    <row r="54" spans="1:8" ht="15.75" customHeight="1">
      <c r="A54" s="115">
        <f t="shared" si="15"/>
        <v>0</v>
      </c>
      <c r="B54" s="115">
        <f t="shared" si="16"/>
        <v>0</v>
      </c>
      <c r="C54" s="115">
        <f t="shared" ref="C54:H54" si="25">(B54/B$44)*C$44</f>
        <v>0</v>
      </c>
      <c r="D54" s="115">
        <f t="shared" si="25"/>
        <v>0</v>
      </c>
      <c r="E54" s="115">
        <f t="shared" si="25"/>
        <v>0</v>
      </c>
      <c r="F54" s="115">
        <f t="shared" si="25"/>
        <v>0</v>
      </c>
      <c r="G54" s="115">
        <f t="shared" si="25"/>
        <v>0</v>
      </c>
      <c r="H54" s="115">
        <f t="shared" si="25"/>
        <v>0</v>
      </c>
    </row>
    <row r="55" spans="1:8" ht="15.75" customHeight="1">
      <c r="A55" s="115" t="str">
        <f t="shared" ref="A55:A62" si="26">B24</f>
        <v>Onion</v>
      </c>
      <c r="B55" s="115">
        <f t="shared" ref="B55:B62" si="27">H24*$B$44</f>
        <v>0</v>
      </c>
      <c r="C55" s="115">
        <f t="shared" ref="C55:H55" si="28">(B55/B$44)*C$44</f>
        <v>0</v>
      </c>
      <c r="D55" s="115">
        <f t="shared" si="28"/>
        <v>0</v>
      </c>
      <c r="E55" s="115">
        <f t="shared" si="28"/>
        <v>0</v>
      </c>
      <c r="F55" s="115">
        <f t="shared" si="28"/>
        <v>0</v>
      </c>
      <c r="G55" s="115">
        <f t="shared" si="28"/>
        <v>0</v>
      </c>
      <c r="H55" s="115">
        <f t="shared" si="28"/>
        <v>0</v>
      </c>
    </row>
    <row r="56" spans="1:8" ht="15.75" customHeight="1">
      <c r="A56" s="115" t="str">
        <f t="shared" si="26"/>
        <v>Tomato</v>
      </c>
      <c r="B56" s="115">
        <f t="shared" si="27"/>
        <v>0</v>
      </c>
      <c r="C56" s="115">
        <f t="shared" ref="C56:H56" si="29">(B56/B$44)*C$44</f>
        <v>0</v>
      </c>
      <c r="D56" s="115">
        <f t="shared" si="29"/>
        <v>0</v>
      </c>
      <c r="E56" s="115">
        <f t="shared" si="29"/>
        <v>0</v>
      </c>
      <c r="F56" s="115">
        <f t="shared" si="29"/>
        <v>0</v>
      </c>
      <c r="G56" s="115">
        <f t="shared" si="29"/>
        <v>0</v>
      </c>
      <c r="H56" s="115">
        <f t="shared" si="29"/>
        <v>0</v>
      </c>
    </row>
    <row r="57" spans="1:8" ht="15.75" customHeight="1">
      <c r="A57" s="115" t="str">
        <f t="shared" si="26"/>
        <v>Okra</v>
      </c>
      <c r="B57" s="115">
        <f t="shared" si="27"/>
        <v>0</v>
      </c>
      <c r="C57" s="115">
        <f t="shared" ref="C57:H57" si="30">(B57/B$44)*C$44</f>
        <v>0</v>
      </c>
      <c r="D57" s="115">
        <f t="shared" si="30"/>
        <v>0</v>
      </c>
      <c r="E57" s="115">
        <f t="shared" si="30"/>
        <v>0</v>
      </c>
      <c r="F57" s="115">
        <f t="shared" si="30"/>
        <v>0</v>
      </c>
      <c r="G57" s="115">
        <f t="shared" si="30"/>
        <v>0</v>
      </c>
      <c r="H57" s="115">
        <f t="shared" si="30"/>
        <v>0</v>
      </c>
    </row>
    <row r="58" spans="1:8" ht="15.75" customHeight="1">
      <c r="A58" s="115" t="str">
        <f t="shared" si="26"/>
        <v>Chilli</v>
      </c>
      <c r="B58" s="115">
        <f t="shared" si="27"/>
        <v>0</v>
      </c>
      <c r="C58" s="115">
        <f t="shared" ref="C58:H58" si="31">(B58/B$44)*C$44</f>
        <v>0</v>
      </c>
      <c r="D58" s="115">
        <f t="shared" si="31"/>
        <v>0</v>
      </c>
      <c r="E58" s="115">
        <f t="shared" si="31"/>
        <v>0</v>
      </c>
      <c r="F58" s="115">
        <f t="shared" si="31"/>
        <v>0</v>
      </c>
      <c r="G58" s="115">
        <f t="shared" si="31"/>
        <v>0</v>
      </c>
      <c r="H58" s="115">
        <f t="shared" si="31"/>
        <v>0</v>
      </c>
    </row>
    <row r="59" spans="1:8" ht="15.75" customHeight="1">
      <c r="A59" s="115" t="str">
        <f t="shared" si="26"/>
        <v>Brinjal</v>
      </c>
      <c r="B59" s="115">
        <f t="shared" si="27"/>
        <v>0</v>
      </c>
      <c r="C59" s="115">
        <f t="shared" ref="C59:H59" si="32">(B59/B$44)*C$44</f>
        <v>0</v>
      </c>
      <c r="D59" s="115">
        <f t="shared" si="32"/>
        <v>0</v>
      </c>
      <c r="E59" s="115">
        <f t="shared" si="32"/>
        <v>0</v>
      </c>
      <c r="F59" s="115">
        <f t="shared" si="32"/>
        <v>0</v>
      </c>
      <c r="G59" s="115">
        <f t="shared" si="32"/>
        <v>0</v>
      </c>
      <c r="H59" s="115">
        <f t="shared" si="32"/>
        <v>0</v>
      </c>
    </row>
    <row r="60" spans="1:8" ht="15.75" customHeight="1">
      <c r="A60" s="115">
        <f t="shared" si="26"/>
        <v>0</v>
      </c>
      <c r="B60" s="115">
        <f t="shared" si="27"/>
        <v>0</v>
      </c>
      <c r="C60" s="115">
        <f t="shared" ref="C60:H60" si="33">(B60/B$44)*C$44</f>
        <v>0</v>
      </c>
      <c r="D60" s="115">
        <f t="shared" si="33"/>
        <v>0</v>
      </c>
      <c r="E60" s="115">
        <f t="shared" si="33"/>
        <v>0</v>
      </c>
      <c r="F60" s="115">
        <f t="shared" si="33"/>
        <v>0</v>
      </c>
      <c r="G60" s="115">
        <f t="shared" si="33"/>
        <v>0</v>
      </c>
      <c r="H60" s="115">
        <f t="shared" si="33"/>
        <v>0</v>
      </c>
    </row>
    <row r="61" spans="1:8" ht="15.75" customHeight="1">
      <c r="A61" s="115">
        <f t="shared" si="26"/>
        <v>0</v>
      </c>
      <c r="B61" s="115">
        <f t="shared" si="27"/>
        <v>0</v>
      </c>
      <c r="C61" s="115">
        <f t="shared" ref="C61:H61" si="34">(B61/B$44)*C$44</f>
        <v>0</v>
      </c>
      <c r="D61" s="115">
        <f t="shared" si="34"/>
        <v>0</v>
      </c>
      <c r="E61" s="115">
        <f t="shared" si="34"/>
        <v>0</v>
      </c>
      <c r="F61" s="115">
        <f t="shared" si="34"/>
        <v>0</v>
      </c>
      <c r="G61" s="115">
        <f t="shared" si="34"/>
        <v>0</v>
      </c>
      <c r="H61" s="115">
        <f t="shared" si="34"/>
        <v>0</v>
      </c>
    </row>
    <row r="62" spans="1:8" ht="15.75" customHeight="1">
      <c r="A62" s="115">
        <f t="shared" si="26"/>
        <v>0</v>
      </c>
      <c r="B62" s="115">
        <f t="shared" si="27"/>
        <v>0</v>
      </c>
      <c r="C62" s="115">
        <f t="shared" ref="C62:H62" si="35">(B62/B$44)*C$44</f>
        <v>0</v>
      </c>
      <c r="D62" s="115">
        <f t="shared" si="35"/>
        <v>0</v>
      </c>
      <c r="E62" s="115">
        <f t="shared" si="35"/>
        <v>0</v>
      </c>
      <c r="F62" s="115">
        <f t="shared" si="35"/>
        <v>0</v>
      </c>
      <c r="G62" s="115">
        <f t="shared" si="35"/>
        <v>0</v>
      </c>
      <c r="H62" s="115">
        <f t="shared" si="35"/>
        <v>0</v>
      </c>
    </row>
    <row r="63" spans="1:8" ht="15.75" customHeight="1">
      <c r="A63" s="115">
        <f t="shared" ref="A63:A70" si="36">B33</f>
        <v>0</v>
      </c>
      <c r="B63" s="115">
        <f t="shared" ref="B63:B70" si="37">H33*$B$44</f>
        <v>0</v>
      </c>
      <c r="C63" s="115">
        <f t="shared" ref="C63:H63" si="38">(B63/B$44)*C$44</f>
        <v>0</v>
      </c>
      <c r="D63" s="115">
        <f t="shared" si="38"/>
        <v>0</v>
      </c>
      <c r="E63" s="115">
        <f t="shared" si="38"/>
        <v>0</v>
      </c>
      <c r="F63" s="115">
        <f t="shared" si="38"/>
        <v>0</v>
      </c>
      <c r="G63" s="115">
        <f t="shared" si="38"/>
        <v>0</v>
      </c>
      <c r="H63" s="115">
        <f t="shared" si="38"/>
        <v>0</v>
      </c>
    </row>
    <row r="64" spans="1:8" ht="15.75" customHeight="1">
      <c r="A64" s="115">
        <f t="shared" si="36"/>
        <v>0</v>
      </c>
      <c r="B64" s="115">
        <f t="shared" si="37"/>
        <v>0</v>
      </c>
      <c r="C64" s="115">
        <f t="shared" ref="C64:H64" si="39">(B64/B$44)*C$44</f>
        <v>0</v>
      </c>
      <c r="D64" s="115">
        <f t="shared" si="39"/>
        <v>0</v>
      </c>
      <c r="E64" s="115">
        <f t="shared" si="39"/>
        <v>0</v>
      </c>
      <c r="F64" s="115">
        <f t="shared" si="39"/>
        <v>0</v>
      </c>
      <c r="G64" s="115">
        <f t="shared" si="39"/>
        <v>0</v>
      </c>
      <c r="H64" s="115">
        <f t="shared" si="39"/>
        <v>0</v>
      </c>
    </row>
    <row r="65" spans="1:8" ht="15.75" customHeight="1">
      <c r="A65" s="115">
        <f t="shared" si="36"/>
        <v>0</v>
      </c>
      <c r="B65" s="115">
        <f t="shared" si="37"/>
        <v>0</v>
      </c>
      <c r="C65" s="115">
        <f t="shared" ref="C65:H65" si="40">(B65/B$44)*C$44</f>
        <v>0</v>
      </c>
      <c r="D65" s="115">
        <f t="shared" si="40"/>
        <v>0</v>
      </c>
      <c r="E65" s="115">
        <f t="shared" si="40"/>
        <v>0</v>
      </c>
      <c r="F65" s="115">
        <f t="shared" si="40"/>
        <v>0</v>
      </c>
      <c r="G65" s="115">
        <f t="shared" si="40"/>
        <v>0</v>
      </c>
      <c r="H65" s="115">
        <f t="shared" si="40"/>
        <v>0</v>
      </c>
    </row>
    <row r="66" spans="1:8" ht="15.75" customHeight="1">
      <c r="A66" s="115">
        <f t="shared" si="36"/>
        <v>0</v>
      </c>
      <c r="B66" s="115">
        <f t="shared" si="37"/>
        <v>0</v>
      </c>
      <c r="C66" s="115">
        <f t="shared" ref="C66:H66" si="41">(B66/B$44)*C$44</f>
        <v>0</v>
      </c>
      <c r="D66" s="115">
        <f t="shared" si="41"/>
        <v>0</v>
      </c>
      <c r="E66" s="115">
        <f t="shared" si="41"/>
        <v>0</v>
      </c>
      <c r="F66" s="115">
        <f t="shared" si="41"/>
        <v>0</v>
      </c>
      <c r="G66" s="115">
        <f t="shared" si="41"/>
        <v>0</v>
      </c>
      <c r="H66" s="115">
        <f t="shared" si="41"/>
        <v>0</v>
      </c>
    </row>
    <row r="67" spans="1:8" ht="15.75" customHeight="1">
      <c r="A67" s="115" t="str">
        <f t="shared" si="36"/>
        <v>Pomegranate</v>
      </c>
      <c r="B67" s="115">
        <f t="shared" si="37"/>
        <v>0</v>
      </c>
      <c r="C67" s="115">
        <f t="shared" ref="C67:H67" si="42">(B67/B$44)*C$44</f>
        <v>0</v>
      </c>
      <c r="D67" s="115">
        <f t="shared" si="42"/>
        <v>0</v>
      </c>
      <c r="E67" s="115">
        <f t="shared" si="42"/>
        <v>0</v>
      </c>
      <c r="F67" s="115">
        <f t="shared" si="42"/>
        <v>0</v>
      </c>
      <c r="G67" s="115">
        <f t="shared" si="42"/>
        <v>0</v>
      </c>
      <c r="H67" s="115">
        <f t="shared" si="42"/>
        <v>0</v>
      </c>
    </row>
    <row r="68" spans="1:8" ht="15.75" customHeight="1">
      <c r="A68" s="115" t="str">
        <f t="shared" si="36"/>
        <v>Custard Apple</v>
      </c>
      <c r="B68" s="115">
        <f t="shared" si="37"/>
        <v>0</v>
      </c>
      <c r="C68" s="115">
        <f t="shared" ref="C68:H68" si="43">(B68/B$44)*C$44</f>
        <v>0</v>
      </c>
      <c r="D68" s="115">
        <f t="shared" si="43"/>
        <v>0</v>
      </c>
      <c r="E68" s="115">
        <f t="shared" si="43"/>
        <v>0</v>
      </c>
      <c r="F68" s="115">
        <f t="shared" si="43"/>
        <v>0</v>
      </c>
      <c r="G68" s="115">
        <f t="shared" si="43"/>
        <v>0</v>
      </c>
      <c r="H68" s="115">
        <f t="shared" si="43"/>
        <v>0</v>
      </c>
    </row>
    <row r="69" spans="1:8" ht="15.75" customHeight="1">
      <c r="A69" s="115" t="str">
        <f t="shared" si="36"/>
        <v>Guava</v>
      </c>
      <c r="B69" s="115">
        <f t="shared" si="37"/>
        <v>0</v>
      </c>
      <c r="C69" s="115">
        <f t="shared" ref="C69:H69" si="44">(B69/B$44)*C$44</f>
        <v>0</v>
      </c>
      <c r="D69" s="115">
        <f t="shared" si="44"/>
        <v>0</v>
      </c>
      <c r="E69" s="115">
        <f t="shared" si="44"/>
        <v>0</v>
      </c>
      <c r="F69" s="115">
        <f t="shared" si="44"/>
        <v>0</v>
      </c>
      <c r="G69" s="115">
        <f t="shared" si="44"/>
        <v>0</v>
      </c>
      <c r="H69" s="115">
        <f t="shared" si="44"/>
        <v>0</v>
      </c>
    </row>
    <row r="70" spans="1:8" ht="15.75" customHeight="1">
      <c r="A70" s="115" t="str">
        <f t="shared" si="36"/>
        <v>Citrus</v>
      </c>
      <c r="B70" s="115">
        <f t="shared" si="37"/>
        <v>0</v>
      </c>
      <c r="C70" s="115">
        <f t="shared" ref="C70:H70" si="45">(B70/B$44)*C$44</f>
        <v>0</v>
      </c>
      <c r="D70" s="115">
        <f t="shared" si="45"/>
        <v>0</v>
      </c>
      <c r="E70" s="115">
        <f t="shared" si="45"/>
        <v>0</v>
      </c>
      <c r="F70" s="115">
        <f t="shared" si="45"/>
        <v>0</v>
      </c>
      <c r="G70" s="115">
        <f t="shared" si="45"/>
        <v>0</v>
      </c>
      <c r="H70" s="115">
        <f t="shared" si="45"/>
        <v>0</v>
      </c>
    </row>
    <row r="71" spans="1:8" ht="15.75" customHeight="1">
      <c r="A71" s="299" t="s">
        <v>556</v>
      </c>
      <c r="B71" s="255"/>
      <c r="C71" s="255"/>
      <c r="D71" s="255"/>
      <c r="E71" s="255"/>
      <c r="F71" s="255"/>
      <c r="G71" s="255"/>
      <c r="H71" s="256"/>
    </row>
    <row r="72" spans="1:8" ht="15.75" customHeight="1">
      <c r="A72" s="305" t="s">
        <v>150</v>
      </c>
      <c r="B72" s="164">
        <v>0.05</v>
      </c>
      <c r="C72" s="164">
        <f t="shared" ref="C72:H72" si="46">B72+0.05</f>
        <v>0.1</v>
      </c>
      <c r="D72" s="164">
        <f t="shared" si="46"/>
        <v>0.15000000000000002</v>
      </c>
      <c r="E72" s="164">
        <f t="shared" si="46"/>
        <v>0.2</v>
      </c>
      <c r="F72" s="164">
        <f t="shared" si="46"/>
        <v>0.25</v>
      </c>
      <c r="G72" s="164">
        <f t="shared" si="46"/>
        <v>0.3</v>
      </c>
      <c r="H72" s="164">
        <f t="shared" si="46"/>
        <v>0.35</v>
      </c>
    </row>
    <row r="73" spans="1:8" ht="15.75" customHeight="1">
      <c r="A73" s="261"/>
      <c r="B73" s="147" t="s">
        <v>153</v>
      </c>
      <c r="C73" s="147" t="s">
        <v>154</v>
      </c>
      <c r="D73" s="147" t="s">
        <v>155</v>
      </c>
      <c r="E73" s="147" t="s">
        <v>156</v>
      </c>
      <c r="F73" s="147" t="s">
        <v>157</v>
      </c>
      <c r="G73" s="147" t="s">
        <v>158</v>
      </c>
      <c r="H73" s="147" t="s">
        <v>159</v>
      </c>
    </row>
    <row r="74" spans="1:8" ht="15.75" customHeight="1">
      <c r="A74" s="115" t="str">
        <f t="shared" ref="A74:A98" si="47">A46</f>
        <v>Onion</v>
      </c>
      <c r="B74" s="115">
        <f t="shared" ref="B74:H74" si="48">H14*$B$72</f>
        <v>0</v>
      </c>
      <c r="C74" s="115">
        <f t="shared" si="48"/>
        <v>0</v>
      </c>
      <c r="D74" s="115">
        <f t="shared" si="48"/>
        <v>0</v>
      </c>
      <c r="E74" s="115">
        <f t="shared" si="48"/>
        <v>0</v>
      </c>
      <c r="F74" s="115">
        <f t="shared" si="48"/>
        <v>0</v>
      </c>
      <c r="G74" s="115">
        <f t="shared" si="48"/>
        <v>0</v>
      </c>
      <c r="H74" s="115">
        <f t="shared" si="48"/>
        <v>0</v>
      </c>
    </row>
    <row r="75" spans="1:8" ht="15.75" customHeight="1">
      <c r="A75" s="115" t="str">
        <f t="shared" si="47"/>
        <v>Tomato</v>
      </c>
      <c r="B75" s="115">
        <f>H15*$B$72*0</f>
        <v>0</v>
      </c>
      <c r="C75" s="115">
        <f t="shared" ref="C75:H75" si="49">(B75/B72)*C72</f>
        <v>0</v>
      </c>
      <c r="D75" s="115">
        <f t="shared" si="49"/>
        <v>0</v>
      </c>
      <c r="E75" s="115">
        <f t="shared" si="49"/>
        <v>0</v>
      </c>
      <c r="F75" s="115">
        <f t="shared" si="49"/>
        <v>0</v>
      </c>
      <c r="G75" s="115">
        <f t="shared" si="49"/>
        <v>0</v>
      </c>
      <c r="H75" s="115">
        <f t="shared" si="49"/>
        <v>0</v>
      </c>
    </row>
    <row r="76" spans="1:8" ht="15.75" customHeight="1">
      <c r="A76" s="115" t="str">
        <f t="shared" si="47"/>
        <v>Okra</v>
      </c>
      <c r="B76" s="115">
        <f>H16*$B$72</f>
        <v>0</v>
      </c>
      <c r="C76" s="115">
        <f t="shared" ref="C76:H76" si="50">(B76/B72)*C72</f>
        <v>0</v>
      </c>
      <c r="D76" s="115">
        <f t="shared" si="50"/>
        <v>0</v>
      </c>
      <c r="E76" s="115">
        <f t="shared" si="50"/>
        <v>0</v>
      </c>
      <c r="F76" s="115">
        <f t="shared" si="50"/>
        <v>0</v>
      </c>
      <c r="G76" s="115">
        <f t="shared" si="50"/>
        <v>0</v>
      </c>
      <c r="H76" s="115">
        <f t="shared" si="50"/>
        <v>0</v>
      </c>
    </row>
    <row r="77" spans="1:8" ht="15.75" customHeight="1">
      <c r="A77" s="115" t="str">
        <f t="shared" si="47"/>
        <v>Chilli</v>
      </c>
      <c r="B77" s="115">
        <f>H17*$B$72*0</f>
        <v>0</v>
      </c>
      <c r="C77" s="115">
        <f t="shared" ref="C77:H77" si="51">(B77/B$72)*C$72</f>
        <v>0</v>
      </c>
      <c r="D77" s="115">
        <f t="shared" si="51"/>
        <v>0</v>
      </c>
      <c r="E77" s="115">
        <f t="shared" si="51"/>
        <v>0</v>
      </c>
      <c r="F77" s="115">
        <f t="shared" si="51"/>
        <v>0</v>
      </c>
      <c r="G77" s="115">
        <f t="shared" si="51"/>
        <v>0</v>
      </c>
      <c r="H77" s="115">
        <f t="shared" si="51"/>
        <v>0</v>
      </c>
    </row>
    <row r="78" spans="1:8" ht="15.75" customHeight="1">
      <c r="A78" s="115" t="str">
        <f t="shared" si="47"/>
        <v>Potato</v>
      </c>
      <c r="B78" s="115">
        <f>H18*$B$72</f>
        <v>0</v>
      </c>
      <c r="C78" s="115">
        <f t="shared" ref="C78:H78" si="52">(B78/B$72)*C$72</f>
        <v>0</v>
      </c>
      <c r="D78" s="115">
        <f t="shared" si="52"/>
        <v>0</v>
      </c>
      <c r="E78" s="115">
        <f t="shared" si="52"/>
        <v>0</v>
      </c>
      <c r="F78" s="115">
        <f t="shared" si="52"/>
        <v>0</v>
      </c>
      <c r="G78" s="115">
        <f t="shared" si="52"/>
        <v>0</v>
      </c>
      <c r="H78" s="115">
        <f t="shared" si="52"/>
        <v>0</v>
      </c>
    </row>
    <row r="79" spans="1:8" ht="15.75" customHeight="1">
      <c r="A79" s="115">
        <f t="shared" si="47"/>
        <v>0</v>
      </c>
      <c r="B79" s="115">
        <f t="shared" ref="B79:B80" si="53">H19*$B$72*0</f>
        <v>0</v>
      </c>
      <c r="C79" s="115">
        <f t="shared" ref="C79:H79" si="54">(B79/B$72)*C$72</f>
        <v>0</v>
      </c>
      <c r="D79" s="115">
        <f t="shared" si="54"/>
        <v>0</v>
      </c>
      <c r="E79" s="115">
        <f t="shared" si="54"/>
        <v>0</v>
      </c>
      <c r="F79" s="115">
        <f t="shared" si="54"/>
        <v>0</v>
      </c>
      <c r="G79" s="115">
        <f t="shared" si="54"/>
        <v>0</v>
      </c>
      <c r="H79" s="115">
        <f t="shared" si="54"/>
        <v>0</v>
      </c>
    </row>
    <row r="80" spans="1:8" ht="15.75" customHeight="1">
      <c r="A80" s="115">
        <f t="shared" si="47"/>
        <v>0</v>
      </c>
      <c r="B80" s="115">
        <f t="shared" si="53"/>
        <v>0</v>
      </c>
      <c r="C80" s="115">
        <f t="shared" ref="C80:H80" si="55">(B80/B$72)*C$72</f>
        <v>0</v>
      </c>
      <c r="D80" s="115">
        <f t="shared" si="55"/>
        <v>0</v>
      </c>
      <c r="E80" s="115">
        <f t="shared" si="55"/>
        <v>0</v>
      </c>
      <c r="F80" s="115">
        <f t="shared" si="55"/>
        <v>0</v>
      </c>
      <c r="G80" s="115">
        <f t="shared" si="55"/>
        <v>0</v>
      </c>
      <c r="H80" s="115">
        <f t="shared" si="55"/>
        <v>0</v>
      </c>
    </row>
    <row r="81" spans="1:8" ht="15.75" customHeight="1">
      <c r="A81" s="115">
        <f t="shared" si="47"/>
        <v>0</v>
      </c>
      <c r="B81" s="115">
        <f t="shared" ref="B81:B82" si="56">H21*$B$72</f>
        <v>0</v>
      </c>
      <c r="C81" s="115">
        <f t="shared" ref="C81:H81" si="57">(B81/B$72)*C$72</f>
        <v>0</v>
      </c>
      <c r="D81" s="115">
        <f t="shared" si="57"/>
        <v>0</v>
      </c>
      <c r="E81" s="115">
        <f t="shared" si="57"/>
        <v>0</v>
      </c>
      <c r="F81" s="115">
        <f t="shared" si="57"/>
        <v>0</v>
      </c>
      <c r="G81" s="115">
        <f t="shared" si="57"/>
        <v>0</v>
      </c>
      <c r="H81" s="115">
        <f t="shared" si="57"/>
        <v>0</v>
      </c>
    </row>
    <row r="82" spans="1:8" ht="15.75" customHeight="1">
      <c r="A82" s="115">
        <f t="shared" si="47"/>
        <v>0</v>
      </c>
      <c r="B82" s="115">
        <f t="shared" si="56"/>
        <v>0</v>
      </c>
      <c r="C82" s="115">
        <f t="shared" ref="C82:H82" si="58">(B82/B$72)*C$72</f>
        <v>0</v>
      </c>
      <c r="D82" s="115">
        <f t="shared" si="58"/>
        <v>0</v>
      </c>
      <c r="E82" s="115">
        <f t="shared" si="58"/>
        <v>0</v>
      </c>
      <c r="F82" s="115">
        <f t="shared" si="58"/>
        <v>0</v>
      </c>
      <c r="G82" s="115">
        <f t="shared" si="58"/>
        <v>0</v>
      </c>
      <c r="H82" s="115">
        <f t="shared" si="58"/>
        <v>0</v>
      </c>
    </row>
    <row r="83" spans="1:8" ht="15.75" customHeight="1">
      <c r="A83" s="115" t="str">
        <f t="shared" si="47"/>
        <v>Onion</v>
      </c>
      <c r="B83" s="115">
        <f t="shared" ref="B83:B90" si="59">H24*$B$72</f>
        <v>0</v>
      </c>
      <c r="C83" s="115">
        <f t="shared" ref="C83:H83" si="60">(B83/B$72)*C$72</f>
        <v>0</v>
      </c>
      <c r="D83" s="115">
        <f t="shared" si="60"/>
        <v>0</v>
      </c>
      <c r="E83" s="115">
        <f t="shared" si="60"/>
        <v>0</v>
      </c>
      <c r="F83" s="115">
        <f t="shared" si="60"/>
        <v>0</v>
      </c>
      <c r="G83" s="115">
        <f t="shared" si="60"/>
        <v>0</v>
      </c>
      <c r="H83" s="115">
        <f t="shared" si="60"/>
        <v>0</v>
      </c>
    </row>
    <row r="84" spans="1:8" ht="15.75" customHeight="1">
      <c r="A84" s="115" t="str">
        <f t="shared" si="47"/>
        <v>Tomato</v>
      </c>
      <c r="B84" s="115">
        <f t="shared" si="59"/>
        <v>0</v>
      </c>
      <c r="C84" s="115">
        <f t="shared" ref="C84:H84" si="61">(B84/B$72)*C$72</f>
        <v>0</v>
      </c>
      <c r="D84" s="115">
        <f t="shared" si="61"/>
        <v>0</v>
      </c>
      <c r="E84" s="115">
        <f t="shared" si="61"/>
        <v>0</v>
      </c>
      <c r="F84" s="115">
        <f t="shared" si="61"/>
        <v>0</v>
      </c>
      <c r="G84" s="115">
        <f t="shared" si="61"/>
        <v>0</v>
      </c>
      <c r="H84" s="115">
        <f t="shared" si="61"/>
        <v>0</v>
      </c>
    </row>
    <row r="85" spans="1:8" ht="15.75" customHeight="1">
      <c r="A85" s="115" t="str">
        <f t="shared" si="47"/>
        <v>Okra</v>
      </c>
      <c r="B85" s="115">
        <f t="shared" si="59"/>
        <v>0</v>
      </c>
      <c r="C85" s="115">
        <f t="shared" ref="C85:H85" si="62">(B85/B$72)*C$72</f>
        <v>0</v>
      </c>
      <c r="D85" s="115">
        <f t="shared" si="62"/>
        <v>0</v>
      </c>
      <c r="E85" s="115">
        <f t="shared" si="62"/>
        <v>0</v>
      </c>
      <c r="F85" s="115">
        <f t="shared" si="62"/>
        <v>0</v>
      </c>
      <c r="G85" s="115">
        <f t="shared" si="62"/>
        <v>0</v>
      </c>
      <c r="H85" s="115">
        <f t="shared" si="62"/>
        <v>0</v>
      </c>
    </row>
    <row r="86" spans="1:8" ht="15.75" customHeight="1">
      <c r="A86" s="115" t="str">
        <f t="shared" si="47"/>
        <v>Chilli</v>
      </c>
      <c r="B86" s="115">
        <f t="shared" si="59"/>
        <v>0</v>
      </c>
      <c r="C86" s="115">
        <f t="shared" ref="C86:H86" si="63">(B86/B$72)*C$72</f>
        <v>0</v>
      </c>
      <c r="D86" s="115">
        <f t="shared" si="63"/>
        <v>0</v>
      </c>
      <c r="E86" s="115">
        <f t="shared" si="63"/>
        <v>0</v>
      </c>
      <c r="F86" s="115">
        <f t="shared" si="63"/>
        <v>0</v>
      </c>
      <c r="G86" s="115">
        <f t="shared" si="63"/>
        <v>0</v>
      </c>
      <c r="H86" s="115">
        <f t="shared" si="63"/>
        <v>0</v>
      </c>
    </row>
    <row r="87" spans="1:8" ht="15.75" customHeight="1">
      <c r="A87" s="115" t="str">
        <f t="shared" si="47"/>
        <v>Brinjal</v>
      </c>
      <c r="B87" s="115">
        <f t="shared" si="59"/>
        <v>0</v>
      </c>
      <c r="C87" s="115">
        <f t="shared" ref="C87:H87" si="64">(B87/B$72)*C$72</f>
        <v>0</v>
      </c>
      <c r="D87" s="115">
        <f t="shared" si="64"/>
        <v>0</v>
      </c>
      <c r="E87" s="115">
        <f t="shared" si="64"/>
        <v>0</v>
      </c>
      <c r="F87" s="115">
        <f t="shared" si="64"/>
        <v>0</v>
      </c>
      <c r="G87" s="115">
        <f t="shared" si="64"/>
        <v>0</v>
      </c>
      <c r="H87" s="115">
        <f t="shared" si="64"/>
        <v>0</v>
      </c>
    </row>
    <row r="88" spans="1:8" ht="15.75" customHeight="1">
      <c r="A88" s="115">
        <f t="shared" si="47"/>
        <v>0</v>
      </c>
      <c r="B88" s="115">
        <f t="shared" si="59"/>
        <v>0</v>
      </c>
      <c r="C88" s="115">
        <f t="shared" ref="C88:H88" si="65">(B88/B$72)*C$72</f>
        <v>0</v>
      </c>
      <c r="D88" s="115">
        <f t="shared" si="65"/>
        <v>0</v>
      </c>
      <c r="E88" s="115">
        <f t="shared" si="65"/>
        <v>0</v>
      </c>
      <c r="F88" s="115">
        <f t="shared" si="65"/>
        <v>0</v>
      </c>
      <c r="G88" s="115">
        <f t="shared" si="65"/>
        <v>0</v>
      </c>
      <c r="H88" s="115">
        <f t="shared" si="65"/>
        <v>0</v>
      </c>
    </row>
    <row r="89" spans="1:8" ht="15.75" customHeight="1">
      <c r="A89" s="115">
        <f t="shared" si="47"/>
        <v>0</v>
      </c>
      <c r="B89" s="115">
        <f t="shared" si="59"/>
        <v>0</v>
      </c>
      <c r="C89" s="115">
        <f t="shared" ref="C89:H89" si="66">(B89/B$72)*C$72</f>
        <v>0</v>
      </c>
      <c r="D89" s="115">
        <f t="shared" si="66"/>
        <v>0</v>
      </c>
      <c r="E89" s="115">
        <f t="shared" si="66"/>
        <v>0</v>
      </c>
      <c r="F89" s="115">
        <f t="shared" si="66"/>
        <v>0</v>
      </c>
      <c r="G89" s="115">
        <f t="shared" si="66"/>
        <v>0</v>
      </c>
      <c r="H89" s="115">
        <f t="shared" si="66"/>
        <v>0</v>
      </c>
    </row>
    <row r="90" spans="1:8" ht="15.75" customHeight="1">
      <c r="A90" s="115">
        <f t="shared" si="47"/>
        <v>0</v>
      </c>
      <c r="B90" s="115">
        <f t="shared" si="59"/>
        <v>0</v>
      </c>
      <c r="C90" s="115">
        <f t="shared" ref="C90:H90" si="67">(B90/B$72)*C$72</f>
        <v>0</v>
      </c>
      <c r="D90" s="115">
        <f t="shared" si="67"/>
        <v>0</v>
      </c>
      <c r="E90" s="115">
        <f t="shared" si="67"/>
        <v>0</v>
      </c>
      <c r="F90" s="115">
        <f t="shared" si="67"/>
        <v>0</v>
      </c>
      <c r="G90" s="115">
        <f t="shared" si="67"/>
        <v>0</v>
      </c>
      <c r="H90" s="115">
        <f t="shared" si="67"/>
        <v>0</v>
      </c>
    </row>
    <row r="91" spans="1:8" ht="15.75" customHeight="1">
      <c r="A91" s="115">
        <f t="shared" si="47"/>
        <v>0</v>
      </c>
      <c r="B91" s="115">
        <f t="shared" ref="B91:B98" si="68">H33*$B$72</f>
        <v>0</v>
      </c>
      <c r="C91" s="115">
        <f t="shared" ref="C91:H91" si="69">(B91/B$72)*C$72</f>
        <v>0</v>
      </c>
      <c r="D91" s="115">
        <f t="shared" si="69"/>
        <v>0</v>
      </c>
      <c r="E91" s="115">
        <f t="shared" si="69"/>
        <v>0</v>
      </c>
      <c r="F91" s="115">
        <f t="shared" si="69"/>
        <v>0</v>
      </c>
      <c r="G91" s="115">
        <f t="shared" si="69"/>
        <v>0</v>
      </c>
      <c r="H91" s="115">
        <f t="shared" si="69"/>
        <v>0</v>
      </c>
    </row>
    <row r="92" spans="1:8" ht="15.75" customHeight="1">
      <c r="A92" s="115">
        <f t="shared" si="47"/>
        <v>0</v>
      </c>
      <c r="B92" s="115">
        <f t="shared" si="68"/>
        <v>0</v>
      </c>
      <c r="C92" s="115">
        <f t="shared" ref="C92:G92" si="70">(B92/B$72)*C$72</f>
        <v>0</v>
      </c>
      <c r="D92" s="115">
        <f t="shared" si="70"/>
        <v>0</v>
      </c>
      <c r="E92" s="115">
        <f t="shared" si="70"/>
        <v>0</v>
      </c>
      <c r="F92" s="115">
        <f t="shared" si="70"/>
        <v>0</v>
      </c>
      <c r="G92" s="115">
        <f t="shared" si="70"/>
        <v>0</v>
      </c>
      <c r="H92" s="115"/>
    </row>
    <row r="93" spans="1:8" ht="15.75" customHeight="1">
      <c r="A93" s="115">
        <f t="shared" si="47"/>
        <v>0</v>
      </c>
      <c r="B93" s="115">
        <f t="shared" si="68"/>
        <v>0</v>
      </c>
      <c r="C93" s="115">
        <f t="shared" ref="C93:G93" si="71">(B93/B$72)*C$72</f>
        <v>0</v>
      </c>
      <c r="D93" s="115">
        <f t="shared" si="71"/>
        <v>0</v>
      </c>
      <c r="E93" s="115">
        <f t="shared" si="71"/>
        <v>0</v>
      </c>
      <c r="F93" s="115">
        <f t="shared" si="71"/>
        <v>0</v>
      </c>
      <c r="G93" s="115">
        <f t="shared" si="71"/>
        <v>0</v>
      </c>
      <c r="H93" s="115"/>
    </row>
    <row r="94" spans="1:8" ht="15.75" customHeight="1">
      <c r="A94" s="115">
        <f t="shared" si="47"/>
        <v>0</v>
      </c>
      <c r="B94" s="115">
        <f t="shared" si="68"/>
        <v>0</v>
      </c>
      <c r="C94" s="115">
        <f t="shared" ref="C94:G94" si="72">(B94/B$72)*C$72</f>
        <v>0</v>
      </c>
      <c r="D94" s="115">
        <f t="shared" si="72"/>
        <v>0</v>
      </c>
      <c r="E94" s="115">
        <f t="shared" si="72"/>
        <v>0</v>
      </c>
      <c r="F94" s="115">
        <f t="shared" si="72"/>
        <v>0</v>
      </c>
      <c r="G94" s="115">
        <f t="shared" si="72"/>
        <v>0</v>
      </c>
      <c r="H94" s="115"/>
    </row>
    <row r="95" spans="1:8" ht="15.75" customHeight="1">
      <c r="A95" s="115" t="str">
        <f t="shared" si="47"/>
        <v>Pomegranate</v>
      </c>
      <c r="B95" s="115">
        <f t="shared" si="68"/>
        <v>0</v>
      </c>
      <c r="C95" s="115">
        <f t="shared" ref="C95:H95" si="73">(B95/B$72)*C$72</f>
        <v>0</v>
      </c>
      <c r="D95" s="115">
        <f t="shared" si="73"/>
        <v>0</v>
      </c>
      <c r="E95" s="115">
        <f t="shared" si="73"/>
        <v>0</v>
      </c>
      <c r="F95" s="115">
        <f t="shared" si="73"/>
        <v>0</v>
      </c>
      <c r="G95" s="115">
        <f t="shared" si="73"/>
        <v>0</v>
      </c>
      <c r="H95" s="115">
        <f t="shared" si="73"/>
        <v>0</v>
      </c>
    </row>
    <row r="96" spans="1:8" ht="15.75" customHeight="1">
      <c r="A96" s="115" t="str">
        <f t="shared" si="47"/>
        <v>Custard Apple</v>
      </c>
      <c r="B96" s="115">
        <f t="shared" si="68"/>
        <v>0</v>
      </c>
      <c r="C96" s="115">
        <f t="shared" ref="C96:H96" si="74">(B96/B$72)*C$72</f>
        <v>0</v>
      </c>
      <c r="D96" s="115">
        <f t="shared" si="74"/>
        <v>0</v>
      </c>
      <c r="E96" s="115">
        <f t="shared" si="74"/>
        <v>0</v>
      </c>
      <c r="F96" s="115">
        <f t="shared" si="74"/>
        <v>0</v>
      </c>
      <c r="G96" s="115">
        <f t="shared" si="74"/>
        <v>0</v>
      </c>
      <c r="H96" s="115">
        <f t="shared" si="74"/>
        <v>0</v>
      </c>
    </row>
    <row r="97" spans="1:8" ht="15.75" customHeight="1">
      <c r="A97" s="115" t="str">
        <f t="shared" si="47"/>
        <v>Guava</v>
      </c>
      <c r="B97" s="115">
        <f t="shared" si="68"/>
        <v>0</v>
      </c>
      <c r="C97" s="115">
        <f t="shared" ref="C97:H97" si="75">(B97/B$72)*C$72</f>
        <v>0</v>
      </c>
      <c r="D97" s="115">
        <f t="shared" si="75"/>
        <v>0</v>
      </c>
      <c r="E97" s="115">
        <f t="shared" si="75"/>
        <v>0</v>
      </c>
      <c r="F97" s="115">
        <f t="shared" si="75"/>
        <v>0</v>
      </c>
      <c r="G97" s="115">
        <f t="shared" si="75"/>
        <v>0</v>
      </c>
      <c r="H97" s="115">
        <f t="shared" si="75"/>
        <v>0</v>
      </c>
    </row>
    <row r="98" spans="1:8" ht="15.75" customHeight="1">
      <c r="A98" s="115" t="str">
        <f t="shared" si="47"/>
        <v>Citrus</v>
      </c>
      <c r="B98" s="115">
        <f t="shared" si="68"/>
        <v>0</v>
      </c>
      <c r="C98" s="115">
        <f t="shared" ref="C98:H98" si="76">(B98/B$72)*C$72</f>
        <v>0</v>
      </c>
      <c r="D98" s="115">
        <f t="shared" si="76"/>
        <v>0</v>
      </c>
      <c r="E98" s="115">
        <f t="shared" si="76"/>
        <v>0</v>
      </c>
      <c r="F98" s="115">
        <f t="shared" si="76"/>
        <v>0</v>
      </c>
      <c r="G98" s="115">
        <f t="shared" si="76"/>
        <v>0</v>
      </c>
      <c r="H98" s="115">
        <f t="shared" si="76"/>
        <v>0</v>
      </c>
    </row>
    <row r="99" spans="1:8" ht="15.75" customHeight="1">
      <c r="A99" s="299" t="s">
        <v>557</v>
      </c>
      <c r="B99" s="255"/>
      <c r="C99" s="255"/>
      <c r="D99" s="255"/>
      <c r="E99" s="255"/>
      <c r="F99" s="255"/>
      <c r="G99" s="255"/>
      <c r="H99" s="256"/>
    </row>
    <row r="100" spans="1:8" ht="15.75" customHeight="1">
      <c r="A100" s="300" t="s">
        <v>150</v>
      </c>
      <c r="B100" s="165">
        <v>0.65</v>
      </c>
      <c r="C100" s="166">
        <f t="shared" ref="C100:H100" si="77">B100+0.05</f>
        <v>0.70000000000000007</v>
      </c>
      <c r="D100" s="166">
        <f t="shared" si="77"/>
        <v>0.75000000000000011</v>
      </c>
      <c r="E100" s="166">
        <f t="shared" si="77"/>
        <v>0.80000000000000016</v>
      </c>
      <c r="F100" s="166">
        <f t="shared" si="77"/>
        <v>0.8500000000000002</v>
      </c>
      <c r="G100" s="166">
        <f t="shared" si="77"/>
        <v>0.90000000000000024</v>
      </c>
      <c r="H100" s="166">
        <f t="shared" si="77"/>
        <v>0.95000000000000029</v>
      </c>
    </row>
    <row r="101" spans="1:8" ht="15.75" customHeight="1">
      <c r="A101" s="261"/>
      <c r="B101" s="147" t="s">
        <v>153</v>
      </c>
      <c r="C101" s="147" t="s">
        <v>154</v>
      </c>
      <c r="D101" s="147" t="s">
        <v>155</v>
      </c>
      <c r="E101" s="147" t="s">
        <v>156</v>
      </c>
      <c r="F101" s="147" t="s">
        <v>157</v>
      </c>
      <c r="G101" s="147" t="s">
        <v>158</v>
      </c>
      <c r="H101" s="147" t="s">
        <v>159</v>
      </c>
    </row>
    <row r="102" spans="1:8" ht="15.75" customHeight="1">
      <c r="A102" s="115" t="str">
        <f t="shared" ref="A102:A126" si="78">A74</f>
        <v>Onion</v>
      </c>
      <c r="B102" s="115">
        <f t="shared" ref="B102:B110" si="79">D14*$B$100</f>
        <v>0</v>
      </c>
      <c r="C102" s="115">
        <f t="shared" ref="C102:H102" si="80">(B102/B$100)*C$100</f>
        <v>0</v>
      </c>
      <c r="D102" s="115">
        <f t="shared" si="80"/>
        <v>0</v>
      </c>
      <c r="E102" s="115">
        <f t="shared" si="80"/>
        <v>0</v>
      </c>
      <c r="F102" s="115">
        <f t="shared" si="80"/>
        <v>0</v>
      </c>
      <c r="G102" s="115">
        <f t="shared" si="80"/>
        <v>0</v>
      </c>
      <c r="H102" s="115">
        <f t="shared" si="80"/>
        <v>0</v>
      </c>
    </row>
    <row r="103" spans="1:8" ht="15.75" customHeight="1">
      <c r="A103" s="115" t="str">
        <f t="shared" si="78"/>
        <v>Tomato</v>
      </c>
      <c r="B103" s="115">
        <f t="shared" si="79"/>
        <v>0</v>
      </c>
      <c r="C103" s="115">
        <f t="shared" ref="C103:C126" si="81">(B103/B$100)*C$100</f>
        <v>0</v>
      </c>
      <c r="D103" s="115">
        <f t="shared" ref="D103:H103" si="82">(C103/C100)*D100</f>
        <v>0</v>
      </c>
      <c r="E103" s="115">
        <f t="shared" si="82"/>
        <v>0</v>
      </c>
      <c r="F103" s="115">
        <f t="shared" si="82"/>
        <v>0</v>
      </c>
      <c r="G103" s="115">
        <f t="shared" si="82"/>
        <v>0</v>
      </c>
      <c r="H103" s="115">
        <f t="shared" si="82"/>
        <v>0</v>
      </c>
    </row>
    <row r="104" spans="1:8" ht="15.75" customHeight="1">
      <c r="A104" s="115" t="str">
        <f t="shared" si="78"/>
        <v>Okra</v>
      </c>
      <c r="B104" s="115">
        <f t="shared" si="79"/>
        <v>0</v>
      </c>
      <c r="C104" s="115">
        <f t="shared" si="81"/>
        <v>0</v>
      </c>
      <c r="D104" s="115">
        <f t="shared" ref="D104:H104" si="83">(C104/C$100)*D$100</f>
        <v>0</v>
      </c>
      <c r="E104" s="115">
        <f t="shared" si="83"/>
        <v>0</v>
      </c>
      <c r="F104" s="115">
        <f t="shared" si="83"/>
        <v>0</v>
      </c>
      <c r="G104" s="115">
        <f t="shared" si="83"/>
        <v>0</v>
      </c>
      <c r="H104" s="115">
        <f t="shared" si="83"/>
        <v>0</v>
      </c>
    </row>
    <row r="105" spans="1:8" ht="15.75" customHeight="1">
      <c r="A105" s="115" t="str">
        <f t="shared" si="78"/>
        <v>Chilli</v>
      </c>
      <c r="B105" s="115">
        <f t="shared" si="79"/>
        <v>0</v>
      </c>
      <c r="C105" s="115">
        <f t="shared" si="81"/>
        <v>0</v>
      </c>
      <c r="D105" s="115">
        <f t="shared" ref="D105:H105" si="84">(C105/C$100)*D$100</f>
        <v>0</v>
      </c>
      <c r="E105" s="115">
        <f t="shared" si="84"/>
        <v>0</v>
      </c>
      <c r="F105" s="115">
        <f t="shared" si="84"/>
        <v>0</v>
      </c>
      <c r="G105" s="115">
        <f t="shared" si="84"/>
        <v>0</v>
      </c>
      <c r="H105" s="115">
        <f t="shared" si="84"/>
        <v>0</v>
      </c>
    </row>
    <row r="106" spans="1:8" ht="15.75" customHeight="1">
      <c r="A106" s="115" t="str">
        <f t="shared" si="78"/>
        <v>Potato</v>
      </c>
      <c r="B106" s="115">
        <f t="shared" si="79"/>
        <v>0</v>
      </c>
      <c r="C106" s="115">
        <f t="shared" si="81"/>
        <v>0</v>
      </c>
      <c r="D106" s="115">
        <f t="shared" ref="D106:H106" si="85">(C106/C$100)*D$100</f>
        <v>0</v>
      </c>
      <c r="E106" s="115">
        <f t="shared" si="85"/>
        <v>0</v>
      </c>
      <c r="F106" s="115">
        <f t="shared" si="85"/>
        <v>0</v>
      </c>
      <c r="G106" s="115">
        <f t="shared" si="85"/>
        <v>0</v>
      </c>
      <c r="H106" s="115">
        <f t="shared" si="85"/>
        <v>0</v>
      </c>
    </row>
    <row r="107" spans="1:8" ht="15.75" customHeight="1">
      <c r="A107" s="115">
        <f t="shared" si="78"/>
        <v>0</v>
      </c>
      <c r="B107" s="115">
        <f t="shared" si="79"/>
        <v>0</v>
      </c>
      <c r="C107" s="115">
        <f t="shared" si="81"/>
        <v>0</v>
      </c>
      <c r="D107" s="115">
        <f t="shared" ref="D107:H107" si="86">(C107/C$100)*D$100</f>
        <v>0</v>
      </c>
      <c r="E107" s="115">
        <f t="shared" si="86"/>
        <v>0</v>
      </c>
      <c r="F107" s="115">
        <f t="shared" si="86"/>
        <v>0</v>
      </c>
      <c r="G107" s="115">
        <f t="shared" si="86"/>
        <v>0</v>
      </c>
      <c r="H107" s="115">
        <f t="shared" si="86"/>
        <v>0</v>
      </c>
    </row>
    <row r="108" spans="1:8" ht="15.75" customHeight="1">
      <c r="A108" s="115">
        <f t="shared" si="78"/>
        <v>0</v>
      </c>
      <c r="B108" s="115">
        <f t="shared" si="79"/>
        <v>0</v>
      </c>
      <c r="C108" s="115">
        <f t="shared" si="81"/>
        <v>0</v>
      </c>
      <c r="D108" s="115">
        <f t="shared" ref="D108:H108" si="87">(C108/C$100)*D$100</f>
        <v>0</v>
      </c>
      <c r="E108" s="115">
        <f t="shared" si="87"/>
        <v>0</v>
      </c>
      <c r="F108" s="115">
        <f t="shared" si="87"/>
        <v>0</v>
      </c>
      <c r="G108" s="115">
        <f t="shared" si="87"/>
        <v>0</v>
      </c>
      <c r="H108" s="115">
        <f t="shared" si="87"/>
        <v>0</v>
      </c>
    </row>
    <row r="109" spans="1:8" ht="15.75" customHeight="1">
      <c r="A109" s="115">
        <f t="shared" si="78"/>
        <v>0</v>
      </c>
      <c r="B109" s="115">
        <f t="shared" si="79"/>
        <v>0</v>
      </c>
      <c r="C109" s="115">
        <f t="shared" si="81"/>
        <v>0</v>
      </c>
      <c r="D109" s="115">
        <f t="shared" ref="D109:H109" si="88">(C109/C$100)*D$100</f>
        <v>0</v>
      </c>
      <c r="E109" s="115">
        <f t="shared" si="88"/>
        <v>0</v>
      </c>
      <c r="F109" s="115">
        <f t="shared" si="88"/>
        <v>0</v>
      </c>
      <c r="G109" s="115">
        <f t="shared" si="88"/>
        <v>0</v>
      </c>
      <c r="H109" s="115">
        <f t="shared" si="88"/>
        <v>0</v>
      </c>
    </row>
    <row r="110" spans="1:8" ht="15.75" customHeight="1">
      <c r="A110" s="115">
        <f t="shared" si="78"/>
        <v>0</v>
      </c>
      <c r="B110" s="115">
        <f t="shared" si="79"/>
        <v>0</v>
      </c>
      <c r="C110" s="115">
        <f t="shared" si="81"/>
        <v>0</v>
      </c>
      <c r="D110" s="115">
        <f t="shared" ref="D110:H110" si="89">(C110/C$100)*D$100</f>
        <v>0</v>
      </c>
      <c r="E110" s="115">
        <f t="shared" si="89"/>
        <v>0</v>
      </c>
      <c r="F110" s="115">
        <f t="shared" si="89"/>
        <v>0</v>
      </c>
      <c r="G110" s="115">
        <f t="shared" si="89"/>
        <v>0</v>
      </c>
      <c r="H110" s="115">
        <f t="shared" si="89"/>
        <v>0</v>
      </c>
    </row>
    <row r="111" spans="1:8" ht="15.75" customHeight="1">
      <c r="A111" s="115" t="str">
        <f t="shared" si="78"/>
        <v>Onion</v>
      </c>
      <c r="B111" s="115">
        <f t="shared" ref="B111:B118" si="90">D24*$B$100</f>
        <v>0</v>
      </c>
      <c r="C111" s="115">
        <f t="shared" si="81"/>
        <v>0</v>
      </c>
      <c r="D111" s="115">
        <f t="shared" ref="D111:H111" si="91">(C111/C$100)*D$100</f>
        <v>0</v>
      </c>
      <c r="E111" s="115">
        <f t="shared" si="91"/>
        <v>0</v>
      </c>
      <c r="F111" s="115">
        <f t="shared" si="91"/>
        <v>0</v>
      </c>
      <c r="G111" s="115">
        <f t="shared" si="91"/>
        <v>0</v>
      </c>
      <c r="H111" s="115">
        <f t="shared" si="91"/>
        <v>0</v>
      </c>
    </row>
    <row r="112" spans="1:8" ht="15.75" customHeight="1">
      <c r="A112" s="115" t="str">
        <f t="shared" si="78"/>
        <v>Tomato</v>
      </c>
      <c r="B112" s="115">
        <f t="shared" si="90"/>
        <v>0</v>
      </c>
      <c r="C112" s="115">
        <f t="shared" si="81"/>
        <v>0</v>
      </c>
      <c r="D112" s="115">
        <f t="shared" ref="D112:H112" si="92">(C112/C$100)*D$100</f>
        <v>0</v>
      </c>
      <c r="E112" s="115">
        <f t="shared" si="92"/>
        <v>0</v>
      </c>
      <c r="F112" s="115">
        <f t="shared" si="92"/>
        <v>0</v>
      </c>
      <c r="G112" s="115">
        <f t="shared" si="92"/>
        <v>0</v>
      </c>
      <c r="H112" s="115">
        <f t="shared" si="92"/>
        <v>0</v>
      </c>
    </row>
    <row r="113" spans="1:9" ht="15.75" customHeight="1">
      <c r="A113" s="115" t="str">
        <f t="shared" si="78"/>
        <v>Okra</v>
      </c>
      <c r="B113" s="115">
        <f t="shared" si="90"/>
        <v>0</v>
      </c>
      <c r="C113" s="115">
        <f t="shared" si="81"/>
        <v>0</v>
      </c>
      <c r="D113" s="115">
        <f t="shared" ref="D113:H113" si="93">(C113/C$100)*D$100</f>
        <v>0</v>
      </c>
      <c r="E113" s="115">
        <f t="shared" si="93"/>
        <v>0</v>
      </c>
      <c r="F113" s="115">
        <f t="shared" si="93"/>
        <v>0</v>
      </c>
      <c r="G113" s="115">
        <f t="shared" si="93"/>
        <v>0</v>
      </c>
      <c r="H113" s="115">
        <f t="shared" si="93"/>
        <v>0</v>
      </c>
    </row>
    <row r="114" spans="1:9" ht="15.75" customHeight="1">
      <c r="A114" s="115" t="str">
        <f t="shared" si="78"/>
        <v>Chilli</v>
      </c>
      <c r="B114" s="115">
        <f t="shared" si="90"/>
        <v>0</v>
      </c>
      <c r="C114" s="115">
        <f t="shared" si="81"/>
        <v>0</v>
      </c>
      <c r="D114" s="115">
        <f t="shared" ref="D114:H114" si="94">(C114/C$100)*D$100</f>
        <v>0</v>
      </c>
      <c r="E114" s="115">
        <f t="shared" si="94"/>
        <v>0</v>
      </c>
      <c r="F114" s="115">
        <f t="shared" si="94"/>
        <v>0</v>
      </c>
      <c r="G114" s="115">
        <f t="shared" si="94"/>
        <v>0</v>
      </c>
      <c r="H114" s="115">
        <f t="shared" si="94"/>
        <v>0</v>
      </c>
    </row>
    <row r="115" spans="1:9" ht="15.75" customHeight="1">
      <c r="A115" s="115" t="str">
        <f t="shared" si="78"/>
        <v>Brinjal</v>
      </c>
      <c r="B115" s="115">
        <f t="shared" si="90"/>
        <v>0</v>
      </c>
      <c r="C115" s="115">
        <f t="shared" si="81"/>
        <v>0</v>
      </c>
      <c r="D115" s="115">
        <f t="shared" ref="D115:H115" si="95">(C115/C$100)*D$100</f>
        <v>0</v>
      </c>
      <c r="E115" s="115">
        <f t="shared" si="95"/>
        <v>0</v>
      </c>
      <c r="F115" s="115">
        <f t="shared" si="95"/>
        <v>0</v>
      </c>
      <c r="G115" s="115">
        <f t="shared" si="95"/>
        <v>0</v>
      </c>
      <c r="H115" s="115">
        <f t="shared" si="95"/>
        <v>0</v>
      </c>
    </row>
    <row r="116" spans="1:9" ht="15.75" customHeight="1">
      <c r="A116" s="115">
        <f t="shared" si="78"/>
        <v>0</v>
      </c>
      <c r="B116" s="115">
        <f t="shared" si="90"/>
        <v>0</v>
      </c>
      <c r="C116" s="115">
        <f t="shared" si="81"/>
        <v>0</v>
      </c>
      <c r="D116" s="115">
        <f t="shared" ref="D116:H116" si="96">(C116/C$100)*D$100</f>
        <v>0</v>
      </c>
      <c r="E116" s="115">
        <f t="shared" si="96"/>
        <v>0</v>
      </c>
      <c r="F116" s="115">
        <f t="shared" si="96"/>
        <v>0</v>
      </c>
      <c r="G116" s="115">
        <f t="shared" si="96"/>
        <v>0</v>
      </c>
      <c r="H116" s="115">
        <f t="shared" si="96"/>
        <v>0</v>
      </c>
    </row>
    <row r="117" spans="1:9" ht="15.75" customHeight="1">
      <c r="A117" s="115">
        <f t="shared" si="78"/>
        <v>0</v>
      </c>
      <c r="B117" s="115">
        <f t="shared" si="90"/>
        <v>0</v>
      </c>
      <c r="C117" s="115">
        <f t="shared" si="81"/>
        <v>0</v>
      </c>
      <c r="D117" s="115">
        <f t="shared" ref="D117:H117" si="97">(C117/C$100)*D$100</f>
        <v>0</v>
      </c>
      <c r="E117" s="115">
        <f t="shared" si="97"/>
        <v>0</v>
      </c>
      <c r="F117" s="115">
        <f t="shared" si="97"/>
        <v>0</v>
      </c>
      <c r="G117" s="115">
        <f t="shared" si="97"/>
        <v>0</v>
      </c>
      <c r="H117" s="115">
        <f t="shared" si="97"/>
        <v>0</v>
      </c>
    </row>
    <row r="118" spans="1:9" ht="15.75" customHeight="1">
      <c r="A118" s="115">
        <f t="shared" si="78"/>
        <v>0</v>
      </c>
      <c r="B118" s="115">
        <f t="shared" si="90"/>
        <v>0</v>
      </c>
      <c r="C118" s="115">
        <f t="shared" si="81"/>
        <v>0</v>
      </c>
      <c r="D118" s="115">
        <f t="shared" ref="D118:H118" si="98">(C118/C$100)*D$100</f>
        <v>0</v>
      </c>
      <c r="E118" s="115">
        <f t="shared" si="98"/>
        <v>0</v>
      </c>
      <c r="F118" s="115">
        <f t="shared" si="98"/>
        <v>0</v>
      </c>
      <c r="G118" s="115">
        <f t="shared" si="98"/>
        <v>0</v>
      </c>
      <c r="H118" s="115">
        <f t="shared" si="98"/>
        <v>0</v>
      </c>
    </row>
    <row r="119" spans="1:9" ht="15.75" customHeight="1">
      <c r="A119" s="115">
        <f t="shared" si="78"/>
        <v>0</v>
      </c>
      <c r="B119" s="115">
        <f t="shared" ref="B119:B126" si="99">D33*$B$100</f>
        <v>0</v>
      </c>
      <c r="C119" s="115">
        <f t="shared" si="81"/>
        <v>0</v>
      </c>
      <c r="D119" s="115">
        <f t="shared" ref="D119:H119" si="100">(C119/C$100)*D$100</f>
        <v>0</v>
      </c>
      <c r="E119" s="115">
        <f t="shared" si="100"/>
        <v>0</v>
      </c>
      <c r="F119" s="115">
        <f t="shared" si="100"/>
        <v>0</v>
      </c>
      <c r="G119" s="115">
        <f t="shared" si="100"/>
        <v>0</v>
      </c>
      <c r="H119" s="115">
        <f t="shared" si="100"/>
        <v>0</v>
      </c>
    </row>
    <row r="120" spans="1:9" ht="15.75" customHeight="1">
      <c r="A120" s="115">
        <f t="shared" si="78"/>
        <v>0</v>
      </c>
      <c r="B120" s="115">
        <f t="shared" si="99"/>
        <v>0</v>
      </c>
      <c r="C120" s="115">
        <f t="shared" si="81"/>
        <v>0</v>
      </c>
      <c r="D120" s="115">
        <f t="shared" ref="D120:H120" si="101">(C120/C$100)*D$100</f>
        <v>0</v>
      </c>
      <c r="E120" s="115">
        <f t="shared" si="101"/>
        <v>0</v>
      </c>
      <c r="F120" s="115">
        <f t="shared" si="101"/>
        <v>0</v>
      </c>
      <c r="G120" s="115">
        <f t="shared" si="101"/>
        <v>0</v>
      </c>
      <c r="H120" s="115">
        <f t="shared" si="101"/>
        <v>0</v>
      </c>
    </row>
    <row r="121" spans="1:9" ht="15.75" customHeight="1">
      <c r="A121" s="115">
        <f t="shared" si="78"/>
        <v>0</v>
      </c>
      <c r="B121" s="115">
        <f t="shared" si="99"/>
        <v>0</v>
      </c>
      <c r="C121" s="115">
        <f t="shared" si="81"/>
        <v>0</v>
      </c>
      <c r="D121" s="115">
        <f t="shared" ref="D121:H121" si="102">(C121/C$100)*D$100</f>
        <v>0</v>
      </c>
      <c r="E121" s="115">
        <f t="shared" si="102"/>
        <v>0</v>
      </c>
      <c r="F121" s="115">
        <f t="shared" si="102"/>
        <v>0</v>
      </c>
      <c r="G121" s="115">
        <f t="shared" si="102"/>
        <v>0</v>
      </c>
      <c r="H121" s="115">
        <f t="shared" si="102"/>
        <v>0</v>
      </c>
    </row>
    <row r="122" spans="1:9" ht="15.75" customHeight="1">
      <c r="A122" s="115">
        <f t="shared" si="78"/>
        <v>0</v>
      </c>
      <c r="B122" s="115">
        <f t="shared" si="99"/>
        <v>0</v>
      </c>
      <c r="C122" s="115">
        <f t="shared" si="81"/>
        <v>0</v>
      </c>
      <c r="D122" s="115">
        <f t="shared" ref="D122:H122" si="103">(C122/C$100)*D$100</f>
        <v>0</v>
      </c>
      <c r="E122" s="115">
        <f t="shared" si="103"/>
        <v>0</v>
      </c>
      <c r="F122" s="115">
        <f t="shared" si="103"/>
        <v>0</v>
      </c>
      <c r="G122" s="115">
        <f t="shared" si="103"/>
        <v>0</v>
      </c>
      <c r="H122" s="115">
        <f t="shared" si="103"/>
        <v>0</v>
      </c>
    </row>
    <row r="123" spans="1:9" ht="15.75" customHeight="1">
      <c r="A123" s="115" t="str">
        <f t="shared" si="78"/>
        <v>Pomegranate</v>
      </c>
      <c r="B123" s="115">
        <f t="shared" si="99"/>
        <v>0</v>
      </c>
      <c r="C123" s="115">
        <f t="shared" si="81"/>
        <v>0</v>
      </c>
      <c r="D123" s="115">
        <f t="shared" ref="D123:H123" si="104">(C123/C$100)*D$100</f>
        <v>0</v>
      </c>
      <c r="E123" s="115">
        <f t="shared" si="104"/>
        <v>0</v>
      </c>
      <c r="F123" s="115">
        <f t="shared" si="104"/>
        <v>0</v>
      </c>
      <c r="G123" s="115">
        <f t="shared" si="104"/>
        <v>0</v>
      </c>
      <c r="H123" s="115">
        <f t="shared" si="104"/>
        <v>0</v>
      </c>
    </row>
    <row r="124" spans="1:9" ht="15.75" customHeight="1">
      <c r="A124" s="115" t="str">
        <f t="shared" si="78"/>
        <v>Custard Apple</v>
      </c>
      <c r="B124" s="115">
        <f t="shared" si="99"/>
        <v>0</v>
      </c>
      <c r="C124" s="115">
        <f t="shared" si="81"/>
        <v>0</v>
      </c>
      <c r="D124" s="115">
        <f t="shared" ref="D124:H124" si="105">(C124/C$100)*D$100</f>
        <v>0</v>
      </c>
      <c r="E124" s="115">
        <f t="shared" si="105"/>
        <v>0</v>
      </c>
      <c r="F124" s="115">
        <f t="shared" si="105"/>
        <v>0</v>
      </c>
      <c r="G124" s="115">
        <f t="shared" si="105"/>
        <v>0</v>
      </c>
      <c r="H124" s="115">
        <f t="shared" si="105"/>
        <v>0</v>
      </c>
    </row>
    <row r="125" spans="1:9" ht="15.75" customHeight="1">
      <c r="A125" s="115" t="str">
        <f t="shared" si="78"/>
        <v>Guava</v>
      </c>
      <c r="B125" s="115">
        <f t="shared" si="99"/>
        <v>0</v>
      </c>
      <c r="C125" s="115">
        <f t="shared" si="81"/>
        <v>0</v>
      </c>
      <c r="D125" s="115">
        <f t="shared" ref="D125:H125" si="106">(C125/C$100)*D$100</f>
        <v>0</v>
      </c>
      <c r="E125" s="115">
        <f t="shared" si="106"/>
        <v>0</v>
      </c>
      <c r="F125" s="115">
        <f t="shared" si="106"/>
        <v>0</v>
      </c>
      <c r="G125" s="115">
        <f t="shared" si="106"/>
        <v>0</v>
      </c>
      <c r="H125" s="115">
        <f t="shared" si="106"/>
        <v>0</v>
      </c>
    </row>
    <row r="126" spans="1:9" ht="15.75" customHeight="1">
      <c r="A126" s="115" t="str">
        <f t="shared" si="78"/>
        <v>Citrus</v>
      </c>
      <c r="B126" s="115">
        <f t="shared" si="99"/>
        <v>0</v>
      </c>
      <c r="C126" s="115">
        <f t="shared" si="81"/>
        <v>0</v>
      </c>
      <c r="D126" s="115">
        <f t="shared" ref="D126:H126" si="107">(C126/C$100)*D$100</f>
        <v>0</v>
      </c>
      <c r="E126" s="115">
        <f t="shared" si="107"/>
        <v>0</v>
      </c>
      <c r="F126" s="115">
        <f t="shared" si="107"/>
        <v>0</v>
      </c>
      <c r="G126" s="115">
        <f t="shared" si="107"/>
        <v>0</v>
      </c>
      <c r="H126" s="115">
        <f t="shared" si="107"/>
        <v>0</v>
      </c>
    </row>
    <row r="127" spans="1:9" ht="15.75" customHeight="1"/>
    <row r="128" spans="1:9" ht="15.75" customHeight="1">
      <c r="C128" s="131"/>
      <c r="D128" s="140"/>
      <c r="E128" s="140"/>
      <c r="F128" s="140"/>
      <c r="G128" s="140"/>
      <c r="H128" s="140"/>
      <c r="I128" s="140"/>
    </row>
    <row r="129" spans="1:9" ht="15.75" customHeight="1">
      <c r="A129" t="s">
        <v>532</v>
      </c>
      <c r="C129" s="39"/>
      <c r="D129" s="39"/>
      <c r="E129" s="39"/>
      <c r="F129" s="39"/>
      <c r="G129" s="39"/>
      <c r="H129" s="39"/>
      <c r="I129" s="39"/>
    </row>
    <row r="130" spans="1:9" ht="15.75" customHeight="1">
      <c r="A130">
        <v>1</v>
      </c>
      <c r="B130" t="s">
        <v>558</v>
      </c>
    </row>
    <row r="131" spans="1:9" ht="15.75" customHeight="1">
      <c r="A131">
        <v>2</v>
      </c>
      <c r="B131" t="s">
        <v>559</v>
      </c>
    </row>
    <row r="132" spans="1:9" ht="15.75" customHeight="1">
      <c r="A132">
        <v>3</v>
      </c>
      <c r="B132" t="s">
        <v>535</v>
      </c>
    </row>
  </sheetData>
  <mergeCells count="13">
    <mergeCell ref="A72:A73"/>
    <mergeCell ref="A99:H99"/>
    <mergeCell ref="A100:A101"/>
    <mergeCell ref="A11:H11"/>
    <mergeCell ref="A14:A22"/>
    <mergeCell ref="A24:A31"/>
    <mergeCell ref="A41:H41"/>
    <mergeCell ref="A43:H43"/>
    <mergeCell ref="A3:B3"/>
    <mergeCell ref="A1:H1"/>
    <mergeCell ref="A37:A40"/>
    <mergeCell ref="A44:A45"/>
    <mergeCell ref="A71:H71"/>
  </mergeCells>
  <pageMargins left="0.7" right="0.7" top="0.75" bottom="0.75" header="0" footer="0"/>
  <pageSetup scale="93"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T313"/>
  <sheetViews>
    <sheetView view="pageBreakPreview" topLeftCell="A125" zoomScaleSheetLayoutView="100" workbookViewId="0">
      <selection activeCell="E14" sqref="E14"/>
    </sheetView>
  </sheetViews>
  <sheetFormatPr defaultColWidth="14.42578125" defaultRowHeight="15" customHeight="1"/>
  <cols>
    <col min="1" max="1" width="42.42578125" customWidth="1"/>
    <col min="2" max="2" width="23.42578125" customWidth="1"/>
    <col min="3" max="3" width="11.85546875" customWidth="1"/>
    <col min="4" max="5" width="15.85546875" customWidth="1"/>
    <col min="6" max="6" width="18.140625" customWidth="1"/>
    <col min="7" max="10" width="15.85546875" customWidth="1"/>
    <col min="11" max="11" width="10.5703125" customWidth="1"/>
    <col min="12" max="12" width="8.7109375" customWidth="1"/>
    <col min="13" max="13" width="22.85546875" customWidth="1"/>
    <col min="14" max="14" width="12.85546875" customWidth="1"/>
    <col min="15" max="20" width="8.7109375" customWidth="1"/>
  </cols>
  <sheetData>
    <row r="2" spans="1:8" ht="18.75">
      <c r="A2" s="267" t="s">
        <v>560</v>
      </c>
      <c r="B2" s="251"/>
      <c r="C2" s="251"/>
      <c r="D2" s="251"/>
      <c r="E2" s="251"/>
      <c r="F2" s="251"/>
      <c r="G2" s="251"/>
      <c r="H2" s="251"/>
    </row>
    <row r="3" spans="1:8" ht="18.75">
      <c r="A3" s="267" t="s">
        <v>561</v>
      </c>
      <c r="B3" s="251"/>
      <c r="C3" s="251"/>
      <c r="D3" s="251"/>
      <c r="E3" s="251"/>
      <c r="F3" s="251"/>
      <c r="G3" s="251"/>
      <c r="H3" s="251"/>
    </row>
    <row r="4" spans="1:8">
      <c r="B4" s="52"/>
      <c r="C4" s="52"/>
      <c r="D4" s="52"/>
      <c r="E4" s="52"/>
      <c r="F4" s="269" t="s">
        <v>562</v>
      </c>
      <c r="G4" s="251"/>
      <c r="H4" s="251"/>
    </row>
    <row r="5" spans="1:8">
      <c r="A5" s="52" t="s">
        <v>130</v>
      </c>
      <c r="B5" s="202">
        <v>80</v>
      </c>
      <c r="C5" s="52" t="s">
        <v>563</v>
      </c>
      <c r="D5" s="52"/>
      <c r="E5" s="52"/>
      <c r="F5" s="146" t="s">
        <v>564</v>
      </c>
      <c r="G5" s="146" t="s">
        <v>565</v>
      </c>
      <c r="H5" s="52"/>
    </row>
    <row r="6" spans="1:8">
      <c r="A6" s="52" t="s">
        <v>566</v>
      </c>
      <c r="B6" s="202">
        <v>8</v>
      </c>
      <c r="C6" s="52"/>
      <c r="D6" s="52"/>
      <c r="E6" s="52"/>
      <c r="F6" s="115" t="s">
        <v>567</v>
      </c>
      <c r="G6" s="169">
        <v>0.03</v>
      </c>
      <c r="H6" s="52"/>
    </row>
    <row r="7" spans="1:8">
      <c r="A7" s="52"/>
      <c r="B7" s="52"/>
      <c r="C7" s="52"/>
      <c r="D7" s="52"/>
      <c r="E7" s="52"/>
      <c r="F7" s="115" t="s">
        <v>568</v>
      </c>
      <c r="G7" s="169">
        <v>0.05</v>
      </c>
      <c r="H7" s="52"/>
    </row>
    <row r="8" spans="1:8">
      <c r="A8" s="52" t="s">
        <v>569</v>
      </c>
      <c r="B8" s="52">
        <v>300</v>
      </c>
      <c r="C8" s="52"/>
      <c r="D8" s="52"/>
      <c r="E8" s="52"/>
      <c r="F8" s="115"/>
      <c r="G8" s="169"/>
      <c r="H8" s="52"/>
    </row>
    <row r="9" spans="1:8">
      <c r="A9" s="55" t="s">
        <v>150</v>
      </c>
      <c r="B9" s="56" t="s">
        <v>153</v>
      </c>
      <c r="C9" s="56" t="s">
        <v>154</v>
      </c>
      <c r="D9" s="56" t="s">
        <v>155</v>
      </c>
      <c r="E9" s="56" t="s">
        <v>156</v>
      </c>
      <c r="F9" s="56" t="s">
        <v>157</v>
      </c>
      <c r="G9" s="56" t="s">
        <v>158</v>
      </c>
      <c r="H9" s="56" t="s">
        <v>159</v>
      </c>
    </row>
    <row r="10" spans="1:8">
      <c r="A10" s="57" t="s">
        <v>570</v>
      </c>
      <c r="B10" s="144">
        <f t="shared" ref="B10:H10" si="0">B33/($B$5*$B$6)</f>
        <v>61.574817187500003</v>
      </c>
      <c r="C10" s="144">
        <f t="shared" si="0"/>
        <v>67.732298906250008</v>
      </c>
      <c r="D10" s="144">
        <f t="shared" si="0"/>
        <v>73.889780625</v>
      </c>
      <c r="E10" s="144">
        <f t="shared" si="0"/>
        <v>80.047262343750006</v>
      </c>
      <c r="F10" s="144">
        <f t="shared" si="0"/>
        <v>86.204744062500026</v>
      </c>
      <c r="G10" s="144">
        <f t="shared" si="0"/>
        <v>92.362225781250032</v>
      </c>
      <c r="H10" s="144">
        <f t="shared" si="0"/>
        <v>98.519707500000052</v>
      </c>
    </row>
    <row r="11" spans="1:8">
      <c r="A11" s="170" t="str">
        <f>'10.Grain Production details'!A42</f>
        <v>Soybean</v>
      </c>
      <c r="B11" s="170">
        <f>'10.Grain Production details'!B42</f>
        <v>19273.5</v>
      </c>
      <c r="C11" s="170">
        <f>'10.Grain Production details'!C42</f>
        <v>21200.850000000002</v>
      </c>
      <c r="D11" s="170">
        <f>'10.Grain Production details'!D42</f>
        <v>23128.200000000004</v>
      </c>
      <c r="E11" s="170">
        <f>'10.Grain Production details'!E42</f>
        <v>25055.550000000007</v>
      </c>
      <c r="F11" s="170">
        <f>'10.Grain Production details'!F42</f>
        <v>26982.900000000005</v>
      </c>
      <c r="G11" s="170">
        <f>'10.Grain Production details'!G42</f>
        <v>28910.250000000007</v>
      </c>
      <c r="H11" s="170">
        <f>'10.Grain Production details'!H42</f>
        <v>30837.600000000009</v>
      </c>
    </row>
    <row r="12" spans="1:8">
      <c r="A12" s="170" t="str">
        <f>'10.Grain Production details'!A43</f>
        <v>Red Gram/Tur</v>
      </c>
      <c r="B12" s="170">
        <f>'10.Grain Production details'!B43</f>
        <v>4882.62</v>
      </c>
      <c r="C12" s="170">
        <f>'10.Grain Production details'!C43</f>
        <v>5370.8820000000005</v>
      </c>
      <c r="D12" s="170">
        <f>'10.Grain Production details'!D43</f>
        <v>5859.1440000000011</v>
      </c>
      <c r="E12" s="170">
        <f>'10.Grain Production details'!E43</f>
        <v>6347.4060000000009</v>
      </c>
      <c r="F12" s="170">
        <f>'10.Grain Production details'!F43</f>
        <v>6835.6680000000015</v>
      </c>
      <c r="G12" s="170">
        <f>'10.Grain Production details'!G43</f>
        <v>7323.9300000000021</v>
      </c>
      <c r="H12" s="170">
        <f>'10.Grain Production details'!H43</f>
        <v>7812.1920000000027</v>
      </c>
    </row>
    <row r="13" spans="1:8" hidden="1">
      <c r="A13" s="170" t="str">
        <f>'10.Grain Production details'!A44</f>
        <v>Paddy/Rice</v>
      </c>
      <c r="B13" s="170">
        <f>'10.Grain Production details'!B44</f>
        <v>0</v>
      </c>
      <c r="C13" s="170">
        <f>'10.Grain Production details'!C44</f>
        <v>0</v>
      </c>
      <c r="D13" s="170">
        <f>'10.Grain Production details'!D44</f>
        <v>0</v>
      </c>
      <c r="E13" s="170">
        <f>'10.Grain Production details'!E44</f>
        <v>0</v>
      </c>
      <c r="F13" s="170">
        <f>'10.Grain Production details'!F44</f>
        <v>0</v>
      </c>
      <c r="G13" s="170">
        <f>'10.Grain Production details'!G44</f>
        <v>0</v>
      </c>
      <c r="H13" s="170">
        <f>'10.Grain Production details'!H44</f>
        <v>0</v>
      </c>
    </row>
    <row r="14" spans="1:8">
      <c r="A14" s="170" t="str">
        <f>'10.Grain Production details'!A45</f>
        <v>Green Gram/ Moong</v>
      </c>
      <c r="B14" s="170">
        <f>'10.Grain Production details'!B45</f>
        <v>3148.0049999999997</v>
      </c>
      <c r="C14" s="170">
        <f>'10.Grain Production details'!C45</f>
        <v>3462.8054999999999</v>
      </c>
      <c r="D14" s="170">
        <f>'10.Grain Production details'!D45</f>
        <v>3777.6060000000002</v>
      </c>
      <c r="E14" s="170">
        <f>'10.Grain Production details'!E45</f>
        <v>4092.4065000000005</v>
      </c>
      <c r="F14" s="170">
        <f>'10.Grain Production details'!F45</f>
        <v>4407.2070000000003</v>
      </c>
      <c r="G14" s="170">
        <f>'10.Grain Production details'!G45</f>
        <v>4722.0075000000006</v>
      </c>
      <c r="H14" s="170">
        <f>'10.Grain Production details'!H45</f>
        <v>5036.8080000000009</v>
      </c>
    </row>
    <row r="15" spans="1:8" hidden="1">
      <c r="A15" s="170" t="str">
        <f>'10.Grain Production details'!A46</f>
        <v>Maize</v>
      </c>
      <c r="B15" s="170">
        <f>'10.Grain Production details'!B46</f>
        <v>0</v>
      </c>
      <c r="C15" s="170">
        <f>'10.Grain Production details'!C46</f>
        <v>0</v>
      </c>
      <c r="D15" s="170">
        <f>'10.Grain Production details'!D46</f>
        <v>0</v>
      </c>
      <c r="E15" s="170">
        <f>'10.Grain Production details'!E46</f>
        <v>0</v>
      </c>
      <c r="F15" s="170">
        <f>'10.Grain Production details'!F46</f>
        <v>0</v>
      </c>
      <c r="G15" s="170">
        <f>'10.Grain Production details'!G46</f>
        <v>0</v>
      </c>
      <c r="H15" s="170">
        <f>'10.Grain Production details'!H46</f>
        <v>0</v>
      </c>
    </row>
    <row r="16" spans="1:8">
      <c r="A16" s="170" t="str">
        <f>'10.Grain Production details'!A47</f>
        <v>Black Gram/Udid</v>
      </c>
      <c r="B16" s="170">
        <f>'10.Grain Production details'!B47</f>
        <v>1927.35</v>
      </c>
      <c r="C16" s="170">
        <f>'10.Grain Production details'!C47</f>
        <v>2120.085</v>
      </c>
      <c r="D16" s="170">
        <f>'10.Grain Production details'!D47</f>
        <v>2312.8200000000002</v>
      </c>
      <c r="E16" s="170">
        <f>'10.Grain Production details'!E47</f>
        <v>2505.5550000000003</v>
      </c>
      <c r="F16" s="170">
        <f>'10.Grain Production details'!F47</f>
        <v>2698.2900000000004</v>
      </c>
      <c r="G16" s="170">
        <f>'10.Grain Production details'!G47</f>
        <v>2891.0250000000005</v>
      </c>
      <c r="H16" s="170">
        <f>'10.Grain Production details'!H47</f>
        <v>3083.7600000000007</v>
      </c>
    </row>
    <row r="17" spans="1:8" ht="24.75" hidden="1" customHeight="1">
      <c r="A17" s="170" t="str">
        <f>'10.Grain Production details'!A48</f>
        <v>Bajra</v>
      </c>
      <c r="B17" s="170">
        <f>'10.Grain Production details'!B48</f>
        <v>0</v>
      </c>
      <c r="C17" s="170">
        <f>'10.Grain Production details'!C48</f>
        <v>0</v>
      </c>
      <c r="D17" s="170">
        <f>'10.Grain Production details'!D48</f>
        <v>0</v>
      </c>
      <c r="E17" s="170">
        <f>'10.Grain Production details'!E48</f>
        <v>0</v>
      </c>
      <c r="F17" s="170">
        <f>'10.Grain Production details'!F48</f>
        <v>0</v>
      </c>
      <c r="G17" s="170">
        <f>'10.Grain Production details'!G48</f>
        <v>0</v>
      </c>
      <c r="H17" s="170">
        <f>'10.Grain Production details'!H48</f>
        <v>0</v>
      </c>
    </row>
    <row r="18" spans="1:8" hidden="1">
      <c r="A18" s="170" t="str">
        <f>'10.Grain Production details'!A49</f>
        <v>Jawar</v>
      </c>
      <c r="B18" s="170">
        <f>'10.Grain Production details'!B49</f>
        <v>0</v>
      </c>
      <c r="C18" s="170">
        <f>'10.Grain Production details'!C49</f>
        <v>0</v>
      </c>
      <c r="D18" s="170">
        <f>'10.Grain Production details'!D49</f>
        <v>0</v>
      </c>
      <c r="E18" s="170">
        <f>'10.Grain Production details'!E49</f>
        <v>0</v>
      </c>
      <c r="F18" s="170">
        <f>'10.Grain Production details'!F49</f>
        <v>0</v>
      </c>
      <c r="G18" s="170">
        <f>'10.Grain Production details'!G49</f>
        <v>0</v>
      </c>
      <c r="H18" s="170">
        <f>'10.Grain Production details'!H49</f>
        <v>0</v>
      </c>
    </row>
    <row r="19" spans="1:8" hidden="1">
      <c r="A19" s="170" t="str">
        <f>'10.Grain Production details'!A50</f>
        <v>Sunflower</v>
      </c>
      <c r="B19" s="170">
        <f>'10.Grain Production details'!B50</f>
        <v>0</v>
      </c>
      <c r="C19" s="170">
        <f>'10.Grain Production details'!C50</f>
        <v>0</v>
      </c>
      <c r="D19" s="170">
        <f>'10.Grain Production details'!D50</f>
        <v>0</v>
      </c>
      <c r="E19" s="170">
        <f>'10.Grain Production details'!E50</f>
        <v>0</v>
      </c>
      <c r="F19" s="170">
        <f>'10.Grain Production details'!F50</f>
        <v>0</v>
      </c>
      <c r="G19" s="170">
        <f>'10.Grain Production details'!G50</f>
        <v>0</v>
      </c>
      <c r="H19" s="170">
        <f>'10.Grain Production details'!H50</f>
        <v>0</v>
      </c>
    </row>
    <row r="20" spans="1:8">
      <c r="A20" s="170" t="str">
        <f>'10.Grain Production details'!A51</f>
        <v>Wheat</v>
      </c>
      <c r="B20" s="170">
        <f>'10.Grain Production details'!B51</f>
        <v>2081.5379999999996</v>
      </c>
      <c r="C20" s="170">
        <f>'10.Grain Production details'!C51</f>
        <v>2289.6917999999996</v>
      </c>
      <c r="D20" s="170">
        <f>'10.Grain Production details'!D51</f>
        <v>2497.8455999999996</v>
      </c>
      <c r="E20" s="170">
        <f>'10.Grain Production details'!E51</f>
        <v>2705.9994000000002</v>
      </c>
      <c r="F20" s="170">
        <f>'10.Grain Production details'!F51</f>
        <v>2914.1532000000002</v>
      </c>
      <c r="G20" s="170">
        <f>'10.Grain Production details'!G51</f>
        <v>3122.3070000000002</v>
      </c>
      <c r="H20" s="170">
        <f>'10.Grain Production details'!H51</f>
        <v>3330.4608000000003</v>
      </c>
    </row>
    <row r="21" spans="1:8" ht="15.75" customHeight="1">
      <c r="A21" s="170" t="str">
        <f>'10.Grain Production details'!A52</f>
        <v>Bengal Gram/Channa</v>
      </c>
      <c r="B21" s="170">
        <f>'10.Grain Production details'!B52</f>
        <v>8094.869999999999</v>
      </c>
      <c r="C21" s="170">
        <f>'10.Grain Production details'!C52</f>
        <v>8904.357</v>
      </c>
      <c r="D21" s="170">
        <f>'10.Grain Production details'!D52</f>
        <v>9713.844000000001</v>
      </c>
      <c r="E21" s="170">
        <f>'10.Grain Production details'!E52</f>
        <v>10523.331000000002</v>
      </c>
      <c r="F21" s="170">
        <f>'10.Grain Production details'!F52</f>
        <v>11332.818000000003</v>
      </c>
      <c r="G21" s="170">
        <f>'10.Grain Production details'!G52</f>
        <v>12142.305000000004</v>
      </c>
      <c r="H21" s="170">
        <f>'10.Grain Production details'!H52</f>
        <v>12951.792000000005</v>
      </c>
    </row>
    <row r="22" spans="1:8" ht="15.75" hidden="1" customHeight="1">
      <c r="A22" s="170" t="str">
        <f>'10.Grain Production details'!A53</f>
        <v>Jawar</v>
      </c>
      <c r="B22" s="170">
        <f>'10.Grain Production details'!B53</f>
        <v>0</v>
      </c>
      <c r="C22" s="170">
        <f>'10.Grain Production details'!C53</f>
        <v>0</v>
      </c>
      <c r="D22" s="170">
        <f>'10.Grain Production details'!D53</f>
        <v>0</v>
      </c>
      <c r="E22" s="170">
        <f>'10.Grain Production details'!E53</f>
        <v>0</v>
      </c>
      <c r="F22" s="170">
        <f>'10.Grain Production details'!F53</f>
        <v>0</v>
      </c>
      <c r="G22" s="170">
        <f>'10.Grain Production details'!G53</f>
        <v>0</v>
      </c>
      <c r="H22" s="170">
        <f>'10.Grain Production details'!H53</f>
        <v>0</v>
      </c>
    </row>
    <row r="23" spans="1:8" ht="15.75" hidden="1" customHeight="1">
      <c r="A23" s="170" t="str">
        <f>'10.Grain Production details'!A54</f>
        <v>Maize</v>
      </c>
      <c r="B23" s="170">
        <f>'10.Grain Production details'!B54</f>
        <v>0</v>
      </c>
      <c r="C23" s="170">
        <f>'10.Grain Production details'!C54</f>
        <v>0</v>
      </c>
      <c r="D23" s="170">
        <f>'10.Grain Production details'!D54</f>
        <v>0</v>
      </c>
      <c r="E23" s="170">
        <f>'10.Grain Production details'!E54</f>
        <v>0</v>
      </c>
      <c r="F23" s="170">
        <f>'10.Grain Production details'!F54</f>
        <v>0</v>
      </c>
      <c r="G23" s="170">
        <f>'10.Grain Production details'!G54</f>
        <v>0</v>
      </c>
      <c r="H23" s="170">
        <f>'10.Grain Production details'!H54</f>
        <v>0</v>
      </c>
    </row>
    <row r="24" spans="1:8" ht="15.75" hidden="1" customHeight="1">
      <c r="A24" s="170" t="str">
        <f>'10.Grain Production details'!A55</f>
        <v>Safflower</v>
      </c>
      <c r="B24" s="170">
        <f>'10.Grain Production details'!B55</f>
        <v>0</v>
      </c>
      <c r="C24" s="170">
        <f>'10.Grain Production details'!C55</f>
        <v>0</v>
      </c>
      <c r="D24" s="170">
        <f>'10.Grain Production details'!D55</f>
        <v>0</v>
      </c>
      <c r="E24" s="170">
        <f>'10.Grain Production details'!E55</f>
        <v>0</v>
      </c>
      <c r="F24" s="170">
        <f>'10.Grain Production details'!F55</f>
        <v>0</v>
      </c>
      <c r="G24" s="170">
        <f>'10.Grain Production details'!G55</f>
        <v>0</v>
      </c>
      <c r="H24" s="170">
        <f>'10.Grain Production details'!H55</f>
        <v>0</v>
      </c>
    </row>
    <row r="25" spans="1:8" ht="15.75" hidden="1" customHeight="1">
      <c r="A25" s="170">
        <f>'10.Grain Production details'!A56</f>
        <v>0</v>
      </c>
      <c r="B25" s="170">
        <f>'10.Grain Production details'!B56</f>
        <v>0</v>
      </c>
      <c r="C25" s="170">
        <f>'10.Grain Production details'!C56</f>
        <v>0</v>
      </c>
      <c r="D25" s="170">
        <f>'10.Grain Production details'!D56</f>
        <v>0</v>
      </c>
      <c r="E25" s="170">
        <f>'10.Grain Production details'!E56</f>
        <v>0</v>
      </c>
      <c r="F25" s="170">
        <f>'10.Grain Production details'!F56</f>
        <v>0</v>
      </c>
      <c r="G25" s="170">
        <f>'10.Grain Production details'!G56</f>
        <v>0</v>
      </c>
      <c r="H25" s="170">
        <f>'10.Grain Production details'!H56</f>
        <v>0</v>
      </c>
    </row>
    <row r="26" spans="1:8" ht="15.75" hidden="1" customHeight="1">
      <c r="A26" s="170">
        <f>'10.Grain Production details'!A57</f>
        <v>0</v>
      </c>
      <c r="B26" s="170">
        <f>'10.Grain Production details'!B57</f>
        <v>0</v>
      </c>
      <c r="C26" s="170">
        <f>'10.Grain Production details'!C57</f>
        <v>0</v>
      </c>
      <c r="D26" s="170">
        <f>'10.Grain Production details'!D57</f>
        <v>0</v>
      </c>
      <c r="E26" s="170">
        <f>'10.Grain Production details'!E57</f>
        <v>0</v>
      </c>
      <c r="F26" s="170">
        <f>'10.Grain Production details'!F57</f>
        <v>0</v>
      </c>
      <c r="G26" s="170">
        <f>'10.Grain Production details'!G57</f>
        <v>0</v>
      </c>
      <c r="H26" s="170">
        <f>'10.Grain Production details'!H57</f>
        <v>0</v>
      </c>
    </row>
    <row r="27" spans="1:8" ht="15.75" hidden="1" customHeight="1">
      <c r="A27" s="170">
        <f>'10.Grain Production details'!A58</f>
        <v>0</v>
      </c>
      <c r="B27" s="170">
        <f>'10.Grain Production details'!B58</f>
        <v>0</v>
      </c>
      <c r="C27" s="170">
        <f>'10.Grain Production details'!C58</f>
        <v>0</v>
      </c>
      <c r="D27" s="170">
        <f>'10.Grain Production details'!D58</f>
        <v>0</v>
      </c>
      <c r="E27" s="170">
        <f>'10.Grain Production details'!E58</f>
        <v>0</v>
      </c>
      <c r="F27" s="170">
        <f>'10.Grain Production details'!F58</f>
        <v>0</v>
      </c>
      <c r="G27" s="170">
        <f>'10.Grain Production details'!G58</f>
        <v>0</v>
      </c>
      <c r="H27" s="170">
        <f>'10.Grain Production details'!H58</f>
        <v>0</v>
      </c>
    </row>
    <row r="28" spans="1:8" ht="15.75" hidden="1" customHeight="1">
      <c r="A28" s="170" t="str">
        <f>'10.Grain Production details'!A59</f>
        <v>Groundnut</v>
      </c>
      <c r="B28" s="170">
        <f>'10.Grain Production details'!B59</f>
        <v>0</v>
      </c>
      <c r="C28" s="170">
        <f>'10.Grain Production details'!C59</f>
        <v>0</v>
      </c>
      <c r="D28" s="170">
        <f>'10.Grain Production details'!D59</f>
        <v>0</v>
      </c>
      <c r="E28" s="170">
        <f>'10.Grain Production details'!E59</f>
        <v>0</v>
      </c>
      <c r="F28" s="170">
        <f>'10.Grain Production details'!F59</f>
        <v>0</v>
      </c>
      <c r="G28" s="170">
        <f>'10.Grain Production details'!G59</f>
        <v>0</v>
      </c>
      <c r="H28" s="170">
        <f>'10.Grain Production details'!H59</f>
        <v>0</v>
      </c>
    </row>
    <row r="29" spans="1:8" ht="15.75" hidden="1" customHeight="1">
      <c r="A29" s="170">
        <f>'10.Grain Production details'!A60</f>
        <v>0</v>
      </c>
      <c r="B29" s="170">
        <f>'10.Grain Production details'!B60</f>
        <v>0</v>
      </c>
      <c r="C29" s="170">
        <f>'10.Grain Production details'!C60</f>
        <v>0</v>
      </c>
      <c r="D29" s="170">
        <f>'10.Grain Production details'!D60</f>
        <v>0</v>
      </c>
      <c r="E29" s="170">
        <f>'10.Grain Production details'!E60</f>
        <v>0</v>
      </c>
      <c r="F29" s="170">
        <f>'10.Grain Production details'!F60</f>
        <v>0</v>
      </c>
      <c r="G29" s="170">
        <f>'10.Grain Production details'!G60</f>
        <v>0</v>
      </c>
      <c r="H29" s="170">
        <f>'10.Grain Production details'!H60</f>
        <v>0</v>
      </c>
    </row>
    <row r="30" spans="1:8" ht="15.75" hidden="1" customHeight="1">
      <c r="A30" s="170">
        <f>'10.Grain Production details'!A61</f>
        <v>0</v>
      </c>
      <c r="B30" s="170">
        <f>'10.Grain Production details'!B61</f>
        <v>0</v>
      </c>
      <c r="C30" s="170">
        <f>'10.Grain Production details'!C61</f>
        <v>0</v>
      </c>
      <c r="D30" s="170">
        <f>'10.Grain Production details'!D61</f>
        <v>0</v>
      </c>
      <c r="E30" s="170">
        <f>'10.Grain Production details'!E61</f>
        <v>0</v>
      </c>
      <c r="F30" s="170">
        <f>'10.Grain Production details'!F61</f>
        <v>0</v>
      </c>
      <c r="G30" s="170">
        <f>'10.Grain Production details'!G61</f>
        <v>0</v>
      </c>
      <c r="H30" s="170">
        <f>'10.Grain Production details'!H61</f>
        <v>0</v>
      </c>
    </row>
    <row r="31" spans="1:8" ht="15.75" hidden="1" customHeight="1">
      <c r="A31" s="170">
        <f>'10.Grain Production details'!A62</f>
        <v>0</v>
      </c>
      <c r="B31" s="170">
        <f>'10.Grain Production details'!B62</f>
        <v>0</v>
      </c>
      <c r="C31" s="170">
        <f>'10.Grain Production details'!C62</f>
        <v>0</v>
      </c>
      <c r="D31" s="170">
        <f>'10.Grain Production details'!D62</f>
        <v>0</v>
      </c>
      <c r="E31" s="170">
        <f>'10.Grain Production details'!E62</f>
        <v>0</v>
      </c>
      <c r="F31" s="170">
        <f>'10.Grain Production details'!F62</f>
        <v>0</v>
      </c>
      <c r="G31" s="170">
        <f>'10.Grain Production details'!G62</f>
        <v>0</v>
      </c>
      <c r="H31" s="170">
        <f>'10.Grain Production details'!H62</f>
        <v>0</v>
      </c>
    </row>
    <row r="32" spans="1:8" ht="15.75" hidden="1" customHeight="1">
      <c r="A32" s="170">
        <f>'10.Grain Production details'!B63</f>
        <v>0</v>
      </c>
      <c r="B32" s="170">
        <f>'10.Grain Production details'!C63</f>
        <v>0</v>
      </c>
      <c r="C32" s="170">
        <f>'10.Grain Production details'!D63</f>
        <v>0</v>
      </c>
      <c r="D32" s="170">
        <f>'10.Grain Production details'!E63</f>
        <v>0</v>
      </c>
      <c r="E32" s="170">
        <f>'10.Grain Production details'!F63</f>
        <v>0</v>
      </c>
      <c r="F32" s="170">
        <f>'10.Grain Production details'!G63</f>
        <v>0</v>
      </c>
      <c r="G32" s="170">
        <f>'10.Grain Production details'!H63</f>
        <v>0</v>
      </c>
      <c r="H32" s="170">
        <f>'10.Grain Production details'!I63</f>
        <v>0</v>
      </c>
    </row>
    <row r="33" spans="1:8" ht="15.75" customHeight="1">
      <c r="A33" s="60" t="s">
        <v>571</v>
      </c>
      <c r="B33" s="170">
        <f t="shared" ref="B33:H33" si="1">SUM(B11:B32)</f>
        <v>39407.883000000002</v>
      </c>
      <c r="C33" s="170">
        <f t="shared" si="1"/>
        <v>43348.671300000002</v>
      </c>
      <c r="D33" s="170">
        <f t="shared" si="1"/>
        <v>47289.459600000002</v>
      </c>
      <c r="E33" s="170">
        <f t="shared" si="1"/>
        <v>51230.247900000002</v>
      </c>
      <c r="F33" s="170">
        <f t="shared" si="1"/>
        <v>55171.036200000017</v>
      </c>
      <c r="G33" s="170">
        <f t="shared" si="1"/>
        <v>59111.824500000017</v>
      </c>
      <c r="H33" s="170">
        <f t="shared" si="1"/>
        <v>63052.612800000032</v>
      </c>
    </row>
    <row r="34" spans="1:8" ht="15.75" hidden="1" customHeight="1">
      <c r="A34" s="170" t="str">
        <f>'11.F&amp;V Crop Production details'!A1:H1</f>
        <v>Fruit  &amp; Vegetables Crop Production Details</v>
      </c>
      <c r="B34" s="170"/>
      <c r="C34" s="170"/>
      <c r="D34" s="170"/>
      <c r="E34" s="170"/>
      <c r="F34" s="170"/>
      <c r="G34" s="170"/>
      <c r="H34" s="170"/>
    </row>
    <row r="35" spans="1:8" ht="15.75" hidden="1" customHeight="1">
      <c r="A35" s="170" t="str">
        <f>'11.F&amp;V Crop Production details'!A46</f>
        <v>Onion</v>
      </c>
      <c r="B35" s="170">
        <f>'11.F&amp;V Crop Production details'!B46</f>
        <v>0</v>
      </c>
      <c r="C35" s="170">
        <f>'11.F&amp;V Crop Production details'!C46</f>
        <v>0</v>
      </c>
      <c r="D35" s="170">
        <f>'11.F&amp;V Crop Production details'!D46</f>
        <v>0</v>
      </c>
      <c r="E35" s="170">
        <f>'11.F&amp;V Crop Production details'!E46</f>
        <v>0</v>
      </c>
      <c r="F35" s="170">
        <f>'11.F&amp;V Crop Production details'!F46</f>
        <v>0</v>
      </c>
      <c r="G35" s="170">
        <f>'11.F&amp;V Crop Production details'!G46</f>
        <v>0</v>
      </c>
      <c r="H35" s="170">
        <f>'11.F&amp;V Crop Production details'!H46</f>
        <v>0</v>
      </c>
    </row>
    <row r="36" spans="1:8" ht="15.75" hidden="1" customHeight="1">
      <c r="A36" s="170" t="str">
        <f>'11.F&amp;V Crop Production details'!A47</f>
        <v>Tomato</v>
      </c>
      <c r="B36" s="170">
        <f>'11.F&amp;V Crop Production details'!B47</f>
        <v>0</v>
      </c>
      <c r="C36" s="170">
        <f>'11.F&amp;V Crop Production details'!C47</f>
        <v>0</v>
      </c>
      <c r="D36" s="170">
        <f>'11.F&amp;V Crop Production details'!D47</f>
        <v>0</v>
      </c>
      <c r="E36" s="170">
        <f>'11.F&amp;V Crop Production details'!E47</f>
        <v>0</v>
      </c>
      <c r="F36" s="170">
        <f>'11.F&amp;V Crop Production details'!F47</f>
        <v>0</v>
      </c>
      <c r="G36" s="170">
        <f>'11.F&amp;V Crop Production details'!G47</f>
        <v>0</v>
      </c>
      <c r="H36" s="170">
        <f>'11.F&amp;V Crop Production details'!H47</f>
        <v>0</v>
      </c>
    </row>
    <row r="37" spans="1:8" ht="15.75" hidden="1" customHeight="1">
      <c r="A37" s="170" t="str">
        <f>'11.F&amp;V Crop Production details'!A48</f>
        <v>Okra</v>
      </c>
      <c r="B37" s="170">
        <f>'11.F&amp;V Crop Production details'!B48</f>
        <v>0</v>
      </c>
      <c r="C37" s="170">
        <f>'11.F&amp;V Crop Production details'!C48</f>
        <v>0</v>
      </c>
      <c r="D37" s="170">
        <f>'11.F&amp;V Crop Production details'!D48</f>
        <v>0</v>
      </c>
      <c r="E37" s="170">
        <f>'11.F&amp;V Crop Production details'!E48</f>
        <v>0</v>
      </c>
      <c r="F37" s="170">
        <f>'11.F&amp;V Crop Production details'!F48</f>
        <v>0</v>
      </c>
      <c r="G37" s="170">
        <f>'11.F&amp;V Crop Production details'!G48</f>
        <v>0</v>
      </c>
      <c r="H37" s="170">
        <f>'11.F&amp;V Crop Production details'!H48</f>
        <v>0</v>
      </c>
    </row>
    <row r="38" spans="1:8" ht="15.75" hidden="1" customHeight="1">
      <c r="A38" s="170" t="str">
        <f>'11.F&amp;V Crop Production details'!A49</f>
        <v>Chilli</v>
      </c>
      <c r="B38" s="170">
        <f>'11.F&amp;V Crop Production details'!B49</f>
        <v>0</v>
      </c>
      <c r="C38" s="170">
        <f>'11.F&amp;V Crop Production details'!C49</f>
        <v>0</v>
      </c>
      <c r="D38" s="170">
        <f>'11.F&amp;V Crop Production details'!D49</f>
        <v>0</v>
      </c>
      <c r="E38" s="170">
        <f>'11.F&amp;V Crop Production details'!E49</f>
        <v>0</v>
      </c>
      <c r="F38" s="170">
        <f>'11.F&amp;V Crop Production details'!F49</f>
        <v>0</v>
      </c>
      <c r="G38" s="170">
        <f>'11.F&amp;V Crop Production details'!G49</f>
        <v>0</v>
      </c>
      <c r="H38" s="170">
        <f>'11.F&amp;V Crop Production details'!H49</f>
        <v>0</v>
      </c>
    </row>
    <row r="39" spans="1:8" ht="15.75" hidden="1" customHeight="1">
      <c r="A39" s="170" t="str">
        <f>'11.F&amp;V Crop Production details'!A50</f>
        <v>Potato</v>
      </c>
      <c r="B39" s="170">
        <f>'11.F&amp;V Crop Production details'!B50</f>
        <v>0</v>
      </c>
      <c r="C39" s="170">
        <f>'11.F&amp;V Crop Production details'!C50</f>
        <v>0</v>
      </c>
      <c r="D39" s="170">
        <f>'11.F&amp;V Crop Production details'!D50</f>
        <v>0</v>
      </c>
      <c r="E39" s="170">
        <f>'11.F&amp;V Crop Production details'!E50</f>
        <v>0</v>
      </c>
      <c r="F39" s="170">
        <f>'11.F&amp;V Crop Production details'!F50</f>
        <v>0</v>
      </c>
      <c r="G39" s="170">
        <f>'11.F&amp;V Crop Production details'!G50</f>
        <v>0</v>
      </c>
      <c r="H39" s="170">
        <f>'11.F&amp;V Crop Production details'!H50</f>
        <v>0</v>
      </c>
    </row>
    <row r="40" spans="1:8" ht="15.75" hidden="1" customHeight="1">
      <c r="A40" s="170">
        <f>'11.F&amp;V Crop Production details'!A51</f>
        <v>0</v>
      </c>
      <c r="B40" s="170">
        <f>'11.F&amp;V Crop Production details'!B51</f>
        <v>0</v>
      </c>
      <c r="C40" s="170">
        <f>'11.F&amp;V Crop Production details'!C51</f>
        <v>0</v>
      </c>
      <c r="D40" s="170">
        <f>'11.F&amp;V Crop Production details'!D51</f>
        <v>0</v>
      </c>
      <c r="E40" s="170">
        <f>'11.F&amp;V Crop Production details'!E51</f>
        <v>0</v>
      </c>
      <c r="F40" s="170">
        <f>'11.F&amp;V Crop Production details'!F51</f>
        <v>0</v>
      </c>
      <c r="G40" s="170">
        <f>'11.F&amp;V Crop Production details'!G51</f>
        <v>0</v>
      </c>
      <c r="H40" s="170">
        <f>'11.F&amp;V Crop Production details'!H51</f>
        <v>0</v>
      </c>
    </row>
    <row r="41" spans="1:8" ht="15.75" hidden="1" customHeight="1">
      <c r="A41" s="170">
        <f>'11.F&amp;V Crop Production details'!A52</f>
        <v>0</v>
      </c>
      <c r="B41" s="170">
        <f>'11.F&amp;V Crop Production details'!B52</f>
        <v>0</v>
      </c>
      <c r="C41" s="170">
        <f>'11.F&amp;V Crop Production details'!C52</f>
        <v>0</v>
      </c>
      <c r="D41" s="170">
        <f>'11.F&amp;V Crop Production details'!D52</f>
        <v>0</v>
      </c>
      <c r="E41" s="170">
        <f>'11.F&amp;V Crop Production details'!E52</f>
        <v>0</v>
      </c>
      <c r="F41" s="170">
        <f>'11.F&amp;V Crop Production details'!F52</f>
        <v>0</v>
      </c>
      <c r="G41" s="170">
        <f>'11.F&amp;V Crop Production details'!G52</f>
        <v>0</v>
      </c>
      <c r="H41" s="170">
        <f>'11.F&amp;V Crop Production details'!H52</f>
        <v>0</v>
      </c>
    </row>
    <row r="42" spans="1:8" ht="15.75" hidden="1" customHeight="1">
      <c r="A42" s="170">
        <f>'11.F&amp;V Crop Production details'!A53</f>
        <v>0</v>
      </c>
      <c r="B42" s="170">
        <f>'11.F&amp;V Crop Production details'!B53</f>
        <v>0</v>
      </c>
      <c r="C42" s="170">
        <f>'11.F&amp;V Crop Production details'!C53</f>
        <v>0</v>
      </c>
      <c r="D42" s="170">
        <f>'11.F&amp;V Crop Production details'!D53</f>
        <v>0</v>
      </c>
      <c r="E42" s="170">
        <f>'11.F&amp;V Crop Production details'!E53</f>
        <v>0</v>
      </c>
      <c r="F42" s="170">
        <f>'11.F&amp;V Crop Production details'!F53</f>
        <v>0</v>
      </c>
      <c r="G42" s="170">
        <f>'11.F&amp;V Crop Production details'!G53</f>
        <v>0</v>
      </c>
      <c r="H42" s="170">
        <f>'11.F&amp;V Crop Production details'!H53</f>
        <v>0</v>
      </c>
    </row>
    <row r="43" spans="1:8" ht="15.75" hidden="1" customHeight="1">
      <c r="A43" s="170">
        <f>'11.F&amp;V Crop Production details'!A54</f>
        <v>0</v>
      </c>
      <c r="B43" s="170">
        <f>'11.F&amp;V Crop Production details'!B54</f>
        <v>0</v>
      </c>
      <c r="C43" s="170">
        <f>'11.F&amp;V Crop Production details'!C54</f>
        <v>0</v>
      </c>
      <c r="D43" s="170">
        <f>'11.F&amp;V Crop Production details'!D54</f>
        <v>0</v>
      </c>
      <c r="E43" s="170">
        <f>'11.F&amp;V Crop Production details'!E54</f>
        <v>0</v>
      </c>
      <c r="F43" s="170">
        <f>'11.F&amp;V Crop Production details'!F54</f>
        <v>0</v>
      </c>
      <c r="G43" s="170">
        <f>'11.F&amp;V Crop Production details'!G54</f>
        <v>0</v>
      </c>
      <c r="H43" s="170">
        <f>'11.F&amp;V Crop Production details'!H54</f>
        <v>0</v>
      </c>
    </row>
    <row r="44" spans="1:8" ht="15.75" hidden="1" customHeight="1">
      <c r="A44" s="170" t="str">
        <f>'11.F&amp;V Crop Production details'!A55</f>
        <v>Onion</v>
      </c>
      <c r="B44" s="170">
        <f>'11.F&amp;V Crop Production details'!B55</f>
        <v>0</v>
      </c>
      <c r="C44" s="170">
        <f>'11.F&amp;V Crop Production details'!C55</f>
        <v>0</v>
      </c>
      <c r="D44" s="170">
        <f>'11.F&amp;V Crop Production details'!D55</f>
        <v>0</v>
      </c>
      <c r="E44" s="170">
        <f>'11.F&amp;V Crop Production details'!E55</f>
        <v>0</v>
      </c>
      <c r="F44" s="170">
        <f>'11.F&amp;V Crop Production details'!F55</f>
        <v>0</v>
      </c>
      <c r="G44" s="170">
        <f>'11.F&amp;V Crop Production details'!G55</f>
        <v>0</v>
      </c>
      <c r="H44" s="170">
        <f>'11.F&amp;V Crop Production details'!H55</f>
        <v>0</v>
      </c>
    </row>
    <row r="45" spans="1:8" ht="15.75" hidden="1" customHeight="1">
      <c r="A45" s="170" t="str">
        <f>'11.F&amp;V Crop Production details'!A56</f>
        <v>Tomato</v>
      </c>
      <c r="B45" s="170">
        <f>'11.F&amp;V Crop Production details'!B56</f>
        <v>0</v>
      </c>
      <c r="C45" s="170">
        <f>'11.F&amp;V Crop Production details'!C56</f>
        <v>0</v>
      </c>
      <c r="D45" s="170">
        <f>'11.F&amp;V Crop Production details'!D56</f>
        <v>0</v>
      </c>
      <c r="E45" s="170">
        <f>'11.F&amp;V Crop Production details'!E56</f>
        <v>0</v>
      </c>
      <c r="F45" s="170">
        <f>'11.F&amp;V Crop Production details'!F56</f>
        <v>0</v>
      </c>
      <c r="G45" s="170">
        <f>'11.F&amp;V Crop Production details'!G56</f>
        <v>0</v>
      </c>
      <c r="H45" s="170">
        <f>'11.F&amp;V Crop Production details'!H56</f>
        <v>0</v>
      </c>
    </row>
    <row r="46" spans="1:8" ht="15.75" hidden="1" customHeight="1">
      <c r="A46" s="170" t="str">
        <f>'11.F&amp;V Crop Production details'!A57</f>
        <v>Okra</v>
      </c>
      <c r="B46" s="170">
        <f>'11.F&amp;V Crop Production details'!B57</f>
        <v>0</v>
      </c>
      <c r="C46" s="170">
        <f>'11.F&amp;V Crop Production details'!C57</f>
        <v>0</v>
      </c>
      <c r="D46" s="170">
        <f>'11.F&amp;V Crop Production details'!D57</f>
        <v>0</v>
      </c>
      <c r="E46" s="170">
        <f>'11.F&amp;V Crop Production details'!E57</f>
        <v>0</v>
      </c>
      <c r="F46" s="170">
        <f>'11.F&amp;V Crop Production details'!F57</f>
        <v>0</v>
      </c>
      <c r="G46" s="170">
        <f>'11.F&amp;V Crop Production details'!G57</f>
        <v>0</v>
      </c>
      <c r="H46" s="170">
        <f>'11.F&amp;V Crop Production details'!H57</f>
        <v>0</v>
      </c>
    </row>
    <row r="47" spans="1:8" ht="15.75" hidden="1" customHeight="1">
      <c r="A47" s="170" t="str">
        <f>'11.F&amp;V Crop Production details'!A58</f>
        <v>Chilli</v>
      </c>
      <c r="B47" s="170">
        <f>'11.F&amp;V Crop Production details'!B58</f>
        <v>0</v>
      </c>
      <c r="C47" s="170">
        <f>'11.F&amp;V Crop Production details'!C58</f>
        <v>0</v>
      </c>
      <c r="D47" s="170">
        <f>'11.F&amp;V Crop Production details'!D58</f>
        <v>0</v>
      </c>
      <c r="E47" s="170">
        <f>'11.F&amp;V Crop Production details'!E58</f>
        <v>0</v>
      </c>
      <c r="F47" s="170">
        <f>'11.F&amp;V Crop Production details'!F58</f>
        <v>0</v>
      </c>
      <c r="G47" s="170">
        <f>'11.F&amp;V Crop Production details'!G58</f>
        <v>0</v>
      </c>
      <c r="H47" s="170">
        <f>'11.F&amp;V Crop Production details'!H58</f>
        <v>0</v>
      </c>
    </row>
    <row r="48" spans="1:8" ht="15.75" hidden="1" customHeight="1">
      <c r="A48" s="170" t="str">
        <f>'11.F&amp;V Crop Production details'!A59</f>
        <v>Brinjal</v>
      </c>
      <c r="B48" s="170">
        <f>'11.F&amp;V Crop Production details'!B59</f>
        <v>0</v>
      </c>
      <c r="C48" s="170">
        <f>'11.F&amp;V Crop Production details'!C59</f>
        <v>0</v>
      </c>
      <c r="D48" s="170">
        <f>'11.F&amp;V Crop Production details'!D59</f>
        <v>0</v>
      </c>
      <c r="E48" s="170">
        <f>'11.F&amp;V Crop Production details'!E59</f>
        <v>0</v>
      </c>
      <c r="F48" s="170">
        <f>'11.F&amp;V Crop Production details'!F59</f>
        <v>0</v>
      </c>
      <c r="G48" s="170">
        <f>'11.F&amp;V Crop Production details'!G59</f>
        <v>0</v>
      </c>
      <c r="H48" s="170">
        <f>'11.F&amp;V Crop Production details'!H59</f>
        <v>0</v>
      </c>
    </row>
    <row r="49" spans="1:8" ht="15.75" hidden="1" customHeight="1">
      <c r="A49" s="170">
        <f>'11.F&amp;V Crop Production details'!A60</f>
        <v>0</v>
      </c>
      <c r="B49" s="170">
        <f>'11.F&amp;V Crop Production details'!B60</f>
        <v>0</v>
      </c>
      <c r="C49" s="170">
        <f>'11.F&amp;V Crop Production details'!C60</f>
        <v>0</v>
      </c>
      <c r="D49" s="170">
        <f>'11.F&amp;V Crop Production details'!D60</f>
        <v>0</v>
      </c>
      <c r="E49" s="170">
        <f>'11.F&amp;V Crop Production details'!E60</f>
        <v>0</v>
      </c>
      <c r="F49" s="170">
        <f>'11.F&amp;V Crop Production details'!F60</f>
        <v>0</v>
      </c>
      <c r="G49" s="170">
        <f>'11.F&amp;V Crop Production details'!G60</f>
        <v>0</v>
      </c>
      <c r="H49" s="170">
        <f>'11.F&amp;V Crop Production details'!H60</f>
        <v>0</v>
      </c>
    </row>
    <row r="50" spans="1:8" ht="15.75" hidden="1" customHeight="1">
      <c r="A50" s="170">
        <f>'11.F&amp;V Crop Production details'!A61</f>
        <v>0</v>
      </c>
      <c r="B50" s="170">
        <f>'11.F&amp;V Crop Production details'!B61</f>
        <v>0</v>
      </c>
      <c r="C50" s="170">
        <f>'11.F&amp;V Crop Production details'!C61</f>
        <v>0</v>
      </c>
      <c r="D50" s="170">
        <f>'11.F&amp;V Crop Production details'!D61</f>
        <v>0</v>
      </c>
      <c r="E50" s="170">
        <f>'11.F&amp;V Crop Production details'!E61</f>
        <v>0</v>
      </c>
      <c r="F50" s="170">
        <f>'11.F&amp;V Crop Production details'!F61</f>
        <v>0</v>
      </c>
      <c r="G50" s="170">
        <f>'11.F&amp;V Crop Production details'!G61</f>
        <v>0</v>
      </c>
      <c r="H50" s="170">
        <f>'11.F&amp;V Crop Production details'!H61</f>
        <v>0</v>
      </c>
    </row>
    <row r="51" spans="1:8" ht="15.75" hidden="1" customHeight="1">
      <c r="A51" s="170">
        <f>'11.F&amp;V Crop Production details'!A62</f>
        <v>0</v>
      </c>
      <c r="B51" s="170">
        <f>'11.F&amp;V Crop Production details'!B62</f>
        <v>0</v>
      </c>
      <c r="C51" s="170">
        <f>'11.F&amp;V Crop Production details'!C62</f>
        <v>0</v>
      </c>
      <c r="D51" s="170">
        <f>'11.F&amp;V Crop Production details'!D62</f>
        <v>0</v>
      </c>
      <c r="E51" s="170">
        <f>'11.F&amp;V Crop Production details'!E62</f>
        <v>0</v>
      </c>
      <c r="F51" s="170">
        <f>'11.F&amp;V Crop Production details'!F62</f>
        <v>0</v>
      </c>
      <c r="G51" s="170">
        <f>'11.F&amp;V Crop Production details'!G62</f>
        <v>0</v>
      </c>
      <c r="H51" s="170">
        <f>'11.F&amp;V Crop Production details'!H62</f>
        <v>0</v>
      </c>
    </row>
    <row r="52" spans="1:8" ht="15.75" hidden="1" customHeight="1">
      <c r="A52" s="170">
        <f>'11.F&amp;V Crop Production details'!A63</f>
        <v>0</v>
      </c>
      <c r="B52" s="170">
        <f>'11.F&amp;V Crop Production details'!B63</f>
        <v>0</v>
      </c>
      <c r="C52" s="170">
        <f>'11.F&amp;V Crop Production details'!C63</f>
        <v>0</v>
      </c>
      <c r="D52" s="170">
        <f>'11.F&amp;V Crop Production details'!D63</f>
        <v>0</v>
      </c>
      <c r="E52" s="170">
        <f>'11.F&amp;V Crop Production details'!E63</f>
        <v>0</v>
      </c>
      <c r="F52" s="170">
        <f>'11.F&amp;V Crop Production details'!F63</f>
        <v>0</v>
      </c>
      <c r="G52" s="170">
        <f>'11.F&amp;V Crop Production details'!G63</f>
        <v>0</v>
      </c>
      <c r="H52" s="170">
        <f>'11.F&amp;V Crop Production details'!H63</f>
        <v>0</v>
      </c>
    </row>
    <row r="53" spans="1:8" ht="15.75" hidden="1" customHeight="1">
      <c r="A53" s="170">
        <f>'11.F&amp;V Crop Production details'!A64</f>
        <v>0</v>
      </c>
      <c r="B53" s="170"/>
      <c r="C53" s="170"/>
      <c r="D53" s="170"/>
      <c r="E53" s="170"/>
      <c r="F53" s="170"/>
      <c r="G53" s="170"/>
      <c r="H53" s="170"/>
    </row>
    <row r="54" spans="1:8" ht="15.75" hidden="1" customHeight="1">
      <c r="A54" s="170">
        <f>'11.F&amp;V Crop Production details'!A65</f>
        <v>0</v>
      </c>
      <c r="B54" s="170"/>
      <c r="C54" s="170"/>
      <c r="D54" s="170"/>
      <c r="E54" s="170"/>
      <c r="F54" s="170"/>
      <c r="G54" s="170"/>
      <c r="H54" s="170"/>
    </row>
    <row r="55" spans="1:8" ht="15.75" hidden="1" customHeight="1">
      <c r="A55" s="170">
        <f>'11.F&amp;V Crop Production details'!A66</f>
        <v>0</v>
      </c>
      <c r="B55" s="170"/>
      <c r="C55" s="170"/>
      <c r="D55" s="170"/>
      <c r="E55" s="170"/>
      <c r="F55" s="170"/>
      <c r="G55" s="170"/>
      <c r="H55" s="170"/>
    </row>
    <row r="56" spans="1:8" ht="15.75" hidden="1" customHeight="1">
      <c r="A56" s="170" t="str">
        <f>'11.F&amp;V Crop Production details'!A67</f>
        <v>Pomegranate</v>
      </c>
      <c r="B56" s="170">
        <f>'11.F&amp;V Crop Production details'!B67</f>
        <v>0</v>
      </c>
      <c r="C56" s="170">
        <f>'11.F&amp;V Crop Production details'!C67</f>
        <v>0</v>
      </c>
      <c r="D56" s="170">
        <f>'11.F&amp;V Crop Production details'!D67</f>
        <v>0</v>
      </c>
      <c r="E56" s="170">
        <f>'11.F&amp;V Crop Production details'!E67</f>
        <v>0</v>
      </c>
      <c r="F56" s="170">
        <f>'11.F&amp;V Crop Production details'!F67</f>
        <v>0</v>
      </c>
      <c r="G56" s="170">
        <f>'11.F&amp;V Crop Production details'!G67</f>
        <v>0</v>
      </c>
      <c r="H56" s="170">
        <f>'11.F&amp;V Crop Production details'!H67</f>
        <v>0</v>
      </c>
    </row>
    <row r="57" spans="1:8" ht="15.75" hidden="1" customHeight="1">
      <c r="A57" s="170" t="str">
        <f>'11.F&amp;V Crop Production details'!A68</f>
        <v>Custard Apple</v>
      </c>
      <c r="B57" s="170">
        <f>'11.F&amp;V Crop Production details'!B68</f>
        <v>0</v>
      </c>
      <c r="C57" s="170">
        <f>'11.F&amp;V Crop Production details'!C68</f>
        <v>0</v>
      </c>
      <c r="D57" s="170">
        <f>'11.F&amp;V Crop Production details'!D68</f>
        <v>0</v>
      </c>
      <c r="E57" s="170">
        <f>'11.F&amp;V Crop Production details'!E68</f>
        <v>0</v>
      </c>
      <c r="F57" s="170">
        <f>'11.F&amp;V Crop Production details'!F68</f>
        <v>0</v>
      </c>
      <c r="G57" s="170">
        <f>'11.F&amp;V Crop Production details'!G68</f>
        <v>0</v>
      </c>
      <c r="H57" s="170">
        <f>'11.F&amp;V Crop Production details'!H68</f>
        <v>0</v>
      </c>
    </row>
    <row r="58" spans="1:8" ht="15.75" hidden="1" customHeight="1">
      <c r="A58" s="170" t="str">
        <f>'11.F&amp;V Crop Production details'!A69</f>
        <v>Guava</v>
      </c>
      <c r="B58" s="170">
        <f>'11.F&amp;V Crop Production details'!B69</f>
        <v>0</v>
      </c>
      <c r="C58" s="170">
        <f>'11.F&amp;V Crop Production details'!C69</f>
        <v>0</v>
      </c>
      <c r="D58" s="170">
        <f>'11.F&amp;V Crop Production details'!D69</f>
        <v>0</v>
      </c>
      <c r="E58" s="170">
        <f>'11.F&amp;V Crop Production details'!E69</f>
        <v>0</v>
      </c>
      <c r="F58" s="170">
        <f>'11.F&amp;V Crop Production details'!F69</f>
        <v>0</v>
      </c>
      <c r="G58" s="170">
        <f>'11.F&amp;V Crop Production details'!G69</f>
        <v>0</v>
      </c>
      <c r="H58" s="170">
        <f>'11.F&amp;V Crop Production details'!H69</f>
        <v>0</v>
      </c>
    </row>
    <row r="59" spans="1:8" ht="15.75" hidden="1" customHeight="1">
      <c r="A59" s="170" t="str">
        <f>'11.F&amp;V Crop Production details'!A70</f>
        <v>Citrus</v>
      </c>
      <c r="B59" s="170">
        <f>'11.F&amp;V Crop Production details'!B70</f>
        <v>0</v>
      </c>
      <c r="C59" s="170">
        <f>'11.F&amp;V Crop Production details'!C70</f>
        <v>0</v>
      </c>
      <c r="D59" s="170">
        <f>'11.F&amp;V Crop Production details'!D70</f>
        <v>0</v>
      </c>
      <c r="E59" s="170">
        <f>'11.F&amp;V Crop Production details'!E70</f>
        <v>0</v>
      </c>
      <c r="F59" s="170">
        <f>'11.F&amp;V Crop Production details'!F70</f>
        <v>0</v>
      </c>
      <c r="G59" s="170">
        <f>'11.F&amp;V Crop Production details'!G70</f>
        <v>0</v>
      </c>
      <c r="H59" s="170">
        <f>'11.F&amp;V Crop Production details'!H70</f>
        <v>0</v>
      </c>
    </row>
    <row r="60" spans="1:8" ht="15.75" hidden="1" customHeight="1">
      <c r="A60" s="170"/>
      <c r="B60" s="170"/>
      <c r="C60" s="170"/>
      <c r="D60" s="170"/>
      <c r="E60" s="170"/>
      <c r="F60" s="170"/>
      <c r="G60" s="170"/>
      <c r="H60" s="170"/>
    </row>
    <row r="61" spans="1:8" ht="15.75" hidden="1" customHeight="1">
      <c r="A61" s="60" t="s">
        <v>572</v>
      </c>
      <c r="B61" s="170">
        <f t="shared" ref="B61:H61" si="2">SUM(B35:B59)</f>
        <v>0</v>
      </c>
      <c r="C61" s="170">
        <f t="shared" si="2"/>
        <v>0</v>
      </c>
      <c r="D61" s="170">
        <f t="shared" si="2"/>
        <v>0</v>
      </c>
      <c r="E61" s="170">
        <f t="shared" si="2"/>
        <v>0</v>
      </c>
      <c r="F61" s="170">
        <f t="shared" si="2"/>
        <v>0</v>
      </c>
      <c r="G61" s="170">
        <f t="shared" si="2"/>
        <v>0</v>
      </c>
      <c r="H61" s="170">
        <f t="shared" si="2"/>
        <v>0</v>
      </c>
    </row>
    <row r="62" spans="1:8" ht="15.75" customHeight="1">
      <c r="A62" s="60" t="s">
        <v>573</v>
      </c>
      <c r="B62" s="238">
        <v>0.25</v>
      </c>
      <c r="C62" s="238">
        <v>0.25</v>
      </c>
      <c r="D62" s="238">
        <v>0.25</v>
      </c>
      <c r="E62" s="238">
        <v>0.25</v>
      </c>
      <c r="F62" s="238">
        <v>0.25</v>
      </c>
      <c r="G62" s="238">
        <v>0.25</v>
      </c>
      <c r="H62" s="238">
        <v>0.25</v>
      </c>
    </row>
    <row r="63" spans="1:8" ht="15.75" customHeight="1">
      <c r="A63" s="60" t="s">
        <v>574</v>
      </c>
      <c r="B63" s="238">
        <f t="shared" ref="B63" si="3">1-B62</f>
        <v>0.75</v>
      </c>
      <c r="C63" s="238">
        <f t="shared" ref="C63:H63" si="4">1-C62</f>
        <v>0.75</v>
      </c>
      <c r="D63" s="238">
        <f t="shared" si="4"/>
        <v>0.75</v>
      </c>
      <c r="E63" s="238">
        <f t="shared" si="4"/>
        <v>0.75</v>
      </c>
      <c r="F63" s="238">
        <f t="shared" si="4"/>
        <v>0.75</v>
      </c>
      <c r="G63" s="238">
        <f t="shared" si="4"/>
        <v>0.75</v>
      </c>
      <c r="H63" s="238">
        <f t="shared" si="4"/>
        <v>0.75</v>
      </c>
    </row>
    <row r="64" spans="1:8" ht="15.75" customHeight="1">
      <c r="A64" s="60"/>
      <c r="B64" s="238"/>
      <c r="C64" s="238"/>
      <c r="D64" s="238"/>
      <c r="E64" s="238"/>
      <c r="F64" s="238"/>
      <c r="G64" s="238"/>
      <c r="H64" s="238"/>
    </row>
    <row r="65" spans="1:8" ht="15.75" customHeight="1">
      <c r="A65" s="60" t="s">
        <v>725</v>
      </c>
      <c r="B65" s="170">
        <f t="shared" ref="B65:H65" si="5">B33*B62</f>
        <v>9851.9707500000004</v>
      </c>
      <c r="C65" s="170">
        <f t="shared" si="5"/>
        <v>10837.167825</v>
      </c>
      <c r="D65" s="170">
        <f t="shared" si="5"/>
        <v>11822.3649</v>
      </c>
      <c r="E65" s="170">
        <f t="shared" si="5"/>
        <v>12807.561975000001</v>
      </c>
      <c r="F65" s="170">
        <f t="shared" si="5"/>
        <v>13792.759050000004</v>
      </c>
      <c r="G65" s="170">
        <f t="shared" si="5"/>
        <v>14777.956125000004</v>
      </c>
      <c r="H65" s="170">
        <f t="shared" si="5"/>
        <v>15763.153200000008</v>
      </c>
    </row>
    <row r="66" spans="1:8" ht="15.75" customHeight="1">
      <c r="A66" s="60"/>
      <c r="B66" s="170"/>
      <c r="C66" s="170"/>
      <c r="D66" s="170"/>
      <c r="E66" s="170"/>
      <c r="F66" s="170"/>
      <c r="G66" s="170"/>
      <c r="H66" s="170"/>
    </row>
    <row r="67" spans="1:8" ht="15.75" customHeight="1">
      <c r="A67" s="60" t="s">
        <v>726</v>
      </c>
      <c r="B67" s="170"/>
      <c r="C67" s="170"/>
      <c r="D67" s="170"/>
      <c r="E67" s="170"/>
      <c r="F67" s="170"/>
      <c r="G67" s="170"/>
      <c r="H67" s="170"/>
    </row>
    <row r="68" spans="1:8" ht="15.75" customHeight="1">
      <c r="A68" s="171" t="str">
        <f t="shared" ref="A68:A89" si="6">A11</f>
        <v>Soybean</v>
      </c>
      <c r="B68" s="171">
        <f t="shared" ref="B68:B89" si="7">B11*$B$63</f>
        <v>14455.125</v>
      </c>
      <c r="C68" s="171">
        <f t="shared" ref="C68:C83" si="8">C11*$C$63</f>
        <v>15900.637500000001</v>
      </c>
      <c r="D68" s="171">
        <f t="shared" ref="D68:D83" si="9">D11*$D$63</f>
        <v>17346.150000000001</v>
      </c>
      <c r="E68" s="171">
        <f t="shared" ref="E68:E83" si="10">E11*$E$63</f>
        <v>18791.662500000006</v>
      </c>
      <c r="F68" s="171">
        <f t="shared" ref="F68:F83" si="11">F11*$F$63</f>
        <v>20237.175000000003</v>
      </c>
      <c r="G68" s="171">
        <f t="shared" ref="G68:G83" si="12">G11*$G$63</f>
        <v>21682.687500000007</v>
      </c>
      <c r="H68" s="171">
        <f t="shared" ref="H68:H83" si="13">H11*$H$63</f>
        <v>23128.200000000008</v>
      </c>
    </row>
    <row r="69" spans="1:8" ht="15.75" customHeight="1">
      <c r="A69" s="171" t="str">
        <f t="shared" si="6"/>
        <v>Red Gram/Tur</v>
      </c>
      <c r="B69" s="171">
        <f t="shared" si="7"/>
        <v>3661.9650000000001</v>
      </c>
      <c r="C69" s="171">
        <f t="shared" si="8"/>
        <v>4028.1615000000002</v>
      </c>
      <c r="D69" s="171">
        <f t="shared" si="9"/>
        <v>4394.3580000000011</v>
      </c>
      <c r="E69" s="171">
        <f t="shared" si="10"/>
        <v>4760.5545000000002</v>
      </c>
      <c r="F69" s="171">
        <f t="shared" si="11"/>
        <v>5126.7510000000011</v>
      </c>
      <c r="G69" s="171">
        <f t="shared" si="12"/>
        <v>5492.947500000002</v>
      </c>
      <c r="H69" s="171">
        <f t="shared" si="13"/>
        <v>5859.1440000000021</v>
      </c>
    </row>
    <row r="70" spans="1:8" ht="15.75" hidden="1" customHeight="1">
      <c r="A70" s="171" t="str">
        <f t="shared" si="6"/>
        <v>Paddy/Rice</v>
      </c>
      <c r="B70" s="171">
        <f t="shared" si="7"/>
        <v>0</v>
      </c>
      <c r="C70" s="171">
        <f t="shared" si="8"/>
        <v>0</v>
      </c>
      <c r="D70" s="171">
        <f t="shared" si="9"/>
        <v>0</v>
      </c>
      <c r="E70" s="171">
        <f t="shared" si="10"/>
        <v>0</v>
      </c>
      <c r="F70" s="171">
        <f t="shared" si="11"/>
        <v>0</v>
      </c>
      <c r="G70" s="171">
        <f t="shared" si="12"/>
        <v>0</v>
      </c>
      <c r="H70" s="171">
        <f t="shared" si="13"/>
        <v>0</v>
      </c>
    </row>
    <row r="71" spans="1:8" ht="15.75" customHeight="1">
      <c r="A71" s="171" t="str">
        <f t="shared" si="6"/>
        <v>Green Gram/ Moong</v>
      </c>
      <c r="B71" s="171">
        <f t="shared" si="7"/>
        <v>2361.0037499999999</v>
      </c>
      <c r="C71" s="171">
        <f t="shared" si="8"/>
        <v>2597.1041249999998</v>
      </c>
      <c r="D71" s="171">
        <f t="shared" si="9"/>
        <v>2833.2045000000003</v>
      </c>
      <c r="E71" s="171">
        <f t="shared" si="10"/>
        <v>3069.3048750000003</v>
      </c>
      <c r="F71" s="171">
        <f t="shared" si="11"/>
        <v>3305.4052500000003</v>
      </c>
      <c r="G71" s="171">
        <f t="shared" si="12"/>
        <v>3541.5056250000007</v>
      </c>
      <c r="H71" s="171">
        <f t="shared" si="13"/>
        <v>3777.6060000000007</v>
      </c>
    </row>
    <row r="72" spans="1:8" ht="15.75" hidden="1" customHeight="1">
      <c r="A72" s="171" t="str">
        <f t="shared" si="6"/>
        <v>Maize</v>
      </c>
      <c r="B72" s="171">
        <f t="shared" si="7"/>
        <v>0</v>
      </c>
      <c r="C72" s="171">
        <f t="shared" si="8"/>
        <v>0</v>
      </c>
      <c r="D72" s="171">
        <f t="shared" si="9"/>
        <v>0</v>
      </c>
      <c r="E72" s="171">
        <f t="shared" si="10"/>
        <v>0</v>
      </c>
      <c r="F72" s="171">
        <f t="shared" si="11"/>
        <v>0</v>
      </c>
      <c r="G72" s="171">
        <f t="shared" si="12"/>
        <v>0</v>
      </c>
      <c r="H72" s="171">
        <f t="shared" si="13"/>
        <v>0</v>
      </c>
    </row>
    <row r="73" spans="1:8" ht="15.75" customHeight="1">
      <c r="A73" s="171" t="str">
        <f t="shared" si="6"/>
        <v>Black Gram/Udid</v>
      </c>
      <c r="B73" s="171">
        <f t="shared" si="7"/>
        <v>1445.5124999999998</v>
      </c>
      <c r="C73" s="171">
        <f t="shared" si="8"/>
        <v>1590.06375</v>
      </c>
      <c r="D73" s="171">
        <f t="shared" si="9"/>
        <v>1734.6150000000002</v>
      </c>
      <c r="E73" s="171">
        <f t="shared" si="10"/>
        <v>1879.1662500000002</v>
      </c>
      <c r="F73" s="171">
        <f t="shared" si="11"/>
        <v>2023.7175000000002</v>
      </c>
      <c r="G73" s="171">
        <f t="shared" si="12"/>
        <v>2168.2687500000002</v>
      </c>
      <c r="H73" s="171">
        <f t="shared" si="13"/>
        <v>2312.8200000000006</v>
      </c>
    </row>
    <row r="74" spans="1:8" ht="15.75" hidden="1" customHeight="1">
      <c r="A74" s="171" t="str">
        <f t="shared" si="6"/>
        <v>Bajra</v>
      </c>
      <c r="B74" s="171">
        <f t="shared" si="7"/>
        <v>0</v>
      </c>
      <c r="C74" s="171">
        <f t="shared" si="8"/>
        <v>0</v>
      </c>
      <c r="D74" s="171">
        <f t="shared" si="9"/>
        <v>0</v>
      </c>
      <c r="E74" s="171">
        <f t="shared" si="10"/>
        <v>0</v>
      </c>
      <c r="F74" s="171">
        <f t="shared" si="11"/>
        <v>0</v>
      </c>
      <c r="G74" s="171">
        <f t="shared" si="12"/>
        <v>0</v>
      </c>
      <c r="H74" s="171">
        <f t="shared" si="13"/>
        <v>0</v>
      </c>
    </row>
    <row r="75" spans="1:8" ht="15.75" hidden="1" customHeight="1">
      <c r="A75" s="171" t="str">
        <f t="shared" si="6"/>
        <v>Jawar</v>
      </c>
      <c r="B75" s="171">
        <f t="shared" si="7"/>
        <v>0</v>
      </c>
      <c r="C75" s="171">
        <f t="shared" si="8"/>
        <v>0</v>
      </c>
      <c r="D75" s="171">
        <f t="shared" si="9"/>
        <v>0</v>
      </c>
      <c r="E75" s="171">
        <f t="shared" si="10"/>
        <v>0</v>
      </c>
      <c r="F75" s="171">
        <f t="shared" si="11"/>
        <v>0</v>
      </c>
      <c r="G75" s="171">
        <f t="shared" si="12"/>
        <v>0</v>
      </c>
      <c r="H75" s="171">
        <f t="shared" si="13"/>
        <v>0</v>
      </c>
    </row>
    <row r="76" spans="1:8" ht="15.75" hidden="1" customHeight="1">
      <c r="A76" s="171" t="str">
        <f t="shared" si="6"/>
        <v>Sunflower</v>
      </c>
      <c r="B76" s="171">
        <f t="shared" si="7"/>
        <v>0</v>
      </c>
      <c r="C76" s="171">
        <f t="shared" si="8"/>
        <v>0</v>
      </c>
      <c r="D76" s="171">
        <f t="shared" si="9"/>
        <v>0</v>
      </c>
      <c r="E76" s="171">
        <f t="shared" si="10"/>
        <v>0</v>
      </c>
      <c r="F76" s="171">
        <f t="shared" si="11"/>
        <v>0</v>
      </c>
      <c r="G76" s="171">
        <f t="shared" si="12"/>
        <v>0</v>
      </c>
      <c r="H76" s="171">
        <f t="shared" si="13"/>
        <v>0</v>
      </c>
    </row>
    <row r="77" spans="1:8" ht="15.75" customHeight="1">
      <c r="A77" s="171" t="str">
        <f t="shared" si="6"/>
        <v>Wheat</v>
      </c>
      <c r="B77" s="171">
        <f t="shared" si="7"/>
        <v>1561.1534999999997</v>
      </c>
      <c r="C77" s="171">
        <f t="shared" si="8"/>
        <v>1717.2688499999997</v>
      </c>
      <c r="D77" s="171">
        <f t="shared" si="9"/>
        <v>1873.3841999999997</v>
      </c>
      <c r="E77" s="171">
        <f t="shared" si="10"/>
        <v>2029.49955</v>
      </c>
      <c r="F77" s="171">
        <f t="shared" si="11"/>
        <v>2185.6149</v>
      </c>
      <c r="G77" s="171">
        <f t="shared" si="12"/>
        <v>2341.7302500000001</v>
      </c>
      <c r="H77" s="171">
        <f t="shared" si="13"/>
        <v>2497.8456000000001</v>
      </c>
    </row>
    <row r="78" spans="1:8" ht="15.75" customHeight="1">
      <c r="A78" s="171" t="str">
        <f t="shared" si="6"/>
        <v>Bengal Gram/Channa</v>
      </c>
      <c r="B78" s="171">
        <f t="shared" si="7"/>
        <v>6071.1524999999992</v>
      </c>
      <c r="C78" s="171">
        <f t="shared" si="8"/>
        <v>6678.26775</v>
      </c>
      <c r="D78" s="171">
        <f t="shared" si="9"/>
        <v>7285.3830000000007</v>
      </c>
      <c r="E78" s="171">
        <f t="shared" si="10"/>
        <v>7892.4982500000015</v>
      </c>
      <c r="F78" s="171">
        <f t="shared" si="11"/>
        <v>8499.6135000000031</v>
      </c>
      <c r="G78" s="171">
        <f t="shared" si="12"/>
        <v>9106.728750000002</v>
      </c>
      <c r="H78" s="171">
        <f t="shared" si="13"/>
        <v>9713.8440000000046</v>
      </c>
    </row>
    <row r="79" spans="1:8" ht="15.75" hidden="1" customHeight="1">
      <c r="A79" s="171" t="str">
        <f t="shared" si="6"/>
        <v>Jawar</v>
      </c>
      <c r="B79" s="171">
        <f t="shared" si="7"/>
        <v>0</v>
      </c>
      <c r="C79" s="171">
        <f t="shared" si="8"/>
        <v>0</v>
      </c>
      <c r="D79" s="171">
        <f t="shared" si="9"/>
        <v>0</v>
      </c>
      <c r="E79" s="171">
        <f t="shared" si="10"/>
        <v>0</v>
      </c>
      <c r="F79" s="171">
        <f t="shared" si="11"/>
        <v>0</v>
      </c>
      <c r="G79" s="171">
        <f t="shared" si="12"/>
        <v>0</v>
      </c>
      <c r="H79" s="171">
        <f t="shared" si="13"/>
        <v>0</v>
      </c>
    </row>
    <row r="80" spans="1:8" ht="15.75" hidden="1" customHeight="1">
      <c r="A80" s="171" t="str">
        <f t="shared" si="6"/>
        <v>Maize</v>
      </c>
      <c r="B80" s="171">
        <f t="shared" si="7"/>
        <v>0</v>
      </c>
      <c r="C80" s="171">
        <f t="shared" si="8"/>
        <v>0</v>
      </c>
      <c r="D80" s="171">
        <f t="shared" si="9"/>
        <v>0</v>
      </c>
      <c r="E80" s="171">
        <f t="shared" si="10"/>
        <v>0</v>
      </c>
      <c r="F80" s="171">
        <f t="shared" si="11"/>
        <v>0</v>
      </c>
      <c r="G80" s="171">
        <f t="shared" si="12"/>
        <v>0</v>
      </c>
      <c r="H80" s="171">
        <f t="shared" si="13"/>
        <v>0</v>
      </c>
    </row>
    <row r="81" spans="1:12" ht="15.75" hidden="1" customHeight="1">
      <c r="A81" s="171" t="str">
        <f t="shared" si="6"/>
        <v>Safflower</v>
      </c>
      <c r="B81" s="171">
        <f t="shared" si="7"/>
        <v>0</v>
      </c>
      <c r="C81" s="171">
        <f t="shared" si="8"/>
        <v>0</v>
      </c>
      <c r="D81" s="171">
        <f t="shared" si="9"/>
        <v>0</v>
      </c>
      <c r="E81" s="171">
        <f t="shared" si="10"/>
        <v>0</v>
      </c>
      <c r="F81" s="171">
        <f t="shared" si="11"/>
        <v>0</v>
      </c>
      <c r="G81" s="171">
        <f t="shared" si="12"/>
        <v>0</v>
      </c>
      <c r="H81" s="171">
        <f t="shared" si="13"/>
        <v>0</v>
      </c>
    </row>
    <row r="82" spans="1:12" ht="15.75" hidden="1" customHeight="1">
      <c r="A82" s="171">
        <f t="shared" si="6"/>
        <v>0</v>
      </c>
      <c r="B82" s="171">
        <f t="shared" si="7"/>
        <v>0</v>
      </c>
      <c r="C82" s="171">
        <f t="shared" si="8"/>
        <v>0</v>
      </c>
      <c r="D82" s="171">
        <f t="shared" si="9"/>
        <v>0</v>
      </c>
      <c r="E82" s="171">
        <f t="shared" si="10"/>
        <v>0</v>
      </c>
      <c r="F82" s="171">
        <f t="shared" si="11"/>
        <v>0</v>
      </c>
      <c r="G82" s="171">
        <f t="shared" si="12"/>
        <v>0</v>
      </c>
      <c r="H82" s="171">
        <f t="shared" si="13"/>
        <v>0</v>
      </c>
    </row>
    <row r="83" spans="1:12" ht="15.75" hidden="1" customHeight="1">
      <c r="A83" s="171">
        <f t="shared" si="6"/>
        <v>0</v>
      </c>
      <c r="B83" s="171">
        <f t="shared" si="7"/>
        <v>0</v>
      </c>
      <c r="C83" s="171">
        <f t="shared" si="8"/>
        <v>0</v>
      </c>
      <c r="D83" s="171">
        <f t="shared" si="9"/>
        <v>0</v>
      </c>
      <c r="E83" s="171">
        <f t="shared" si="10"/>
        <v>0</v>
      </c>
      <c r="F83" s="171">
        <f t="shared" si="11"/>
        <v>0</v>
      </c>
      <c r="G83" s="171">
        <f t="shared" si="12"/>
        <v>0</v>
      </c>
      <c r="H83" s="171">
        <f t="shared" si="13"/>
        <v>0</v>
      </c>
    </row>
    <row r="84" spans="1:12" ht="15.75" hidden="1" customHeight="1">
      <c r="A84" s="171">
        <f t="shared" si="6"/>
        <v>0</v>
      </c>
      <c r="B84" s="171">
        <f t="shared" si="7"/>
        <v>0</v>
      </c>
      <c r="C84" s="171">
        <f t="shared" ref="C84:H84" si="14">C27*$B$63</f>
        <v>0</v>
      </c>
      <c r="D84" s="171">
        <f t="shared" si="14"/>
        <v>0</v>
      </c>
      <c r="E84" s="171">
        <f t="shared" si="14"/>
        <v>0</v>
      </c>
      <c r="F84" s="171">
        <f t="shared" si="14"/>
        <v>0</v>
      </c>
      <c r="G84" s="171">
        <f t="shared" si="14"/>
        <v>0</v>
      </c>
      <c r="H84" s="171">
        <f t="shared" si="14"/>
        <v>0</v>
      </c>
    </row>
    <row r="85" spans="1:12" ht="15.75" hidden="1" customHeight="1">
      <c r="A85" s="171" t="str">
        <f t="shared" si="6"/>
        <v>Groundnut</v>
      </c>
      <c r="B85" s="171">
        <f t="shared" si="7"/>
        <v>0</v>
      </c>
      <c r="C85" s="171">
        <f t="shared" ref="C85:H85" si="15">C28*$B$63</f>
        <v>0</v>
      </c>
      <c r="D85" s="171">
        <f t="shared" si="15"/>
        <v>0</v>
      </c>
      <c r="E85" s="171">
        <f t="shared" si="15"/>
        <v>0</v>
      </c>
      <c r="F85" s="171">
        <f t="shared" si="15"/>
        <v>0</v>
      </c>
      <c r="G85" s="171">
        <f t="shared" si="15"/>
        <v>0</v>
      </c>
      <c r="H85" s="171">
        <f t="shared" si="15"/>
        <v>0</v>
      </c>
    </row>
    <row r="86" spans="1:12" ht="15.75" hidden="1" customHeight="1">
      <c r="A86" s="171">
        <f t="shared" si="6"/>
        <v>0</v>
      </c>
      <c r="B86" s="171">
        <f t="shared" si="7"/>
        <v>0</v>
      </c>
      <c r="C86" s="171">
        <f t="shared" ref="C86:H86" si="16">C29*$B$63</f>
        <v>0</v>
      </c>
      <c r="D86" s="171">
        <f t="shared" si="16"/>
        <v>0</v>
      </c>
      <c r="E86" s="171">
        <f t="shared" si="16"/>
        <v>0</v>
      </c>
      <c r="F86" s="171">
        <f t="shared" si="16"/>
        <v>0</v>
      </c>
      <c r="G86" s="171">
        <f t="shared" si="16"/>
        <v>0</v>
      </c>
      <c r="H86" s="171">
        <f t="shared" si="16"/>
        <v>0</v>
      </c>
    </row>
    <row r="87" spans="1:12" ht="15.75" hidden="1" customHeight="1">
      <c r="A87" s="171">
        <f t="shared" si="6"/>
        <v>0</v>
      </c>
      <c r="B87" s="171">
        <f t="shared" si="7"/>
        <v>0</v>
      </c>
      <c r="C87" s="171">
        <f t="shared" ref="C87:H87" si="17">C30*$B$63</f>
        <v>0</v>
      </c>
      <c r="D87" s="171">
        <f t="shared" si="17"/>
        <v>0</v>
      </c>
      <c r="E87" s="171">
        <f t="shared" si="17"/>
        <v>0</v>
      </c>
      <c r="F87" s="171">
        <f t="shared" si="17"/>
        <v>0</v>
      </c>
      <c r="G87" s="171">
        <f t="shared" si="17"/>
        <v>0</v>
      </c>
      <c r="H87" s="171">
        <f t="shared" si="17"/>
        <v>0</v>
      </c>
    </row>
    <row r="88" spans="1:12" ht="15.75" hidden="1" customHeight="1">
      <c r="A88" s="171">
        <f t="shared" si="6"/>
        <v>0</v>
      </c>
      <c r="B88" s="171">
        <f t="shared" si="7"/>
        <v>0</v>
      </c>
      <c r="C88" s="171">
        <f t="shared" ref="C88:H88" si="18">C31*$B$63</f>
        <v>0</v>
      </c>
      <c r="D88" s="171">
        <f t="shared" si="18"/>
        <v>0</v>
      </c>
      <c r="E88" s="171">
        <f t="shared" si="18"/>
        <v>0</v>
      </c>
      <c r="F88" s="171">
        <f t="shared" si="18"/>
        <v>0</v>
      </c>
      <c r="G88" s="171">
        <f t="shared" si="18"/>
        <v>0</v>
      </c>
      <c r="H88" s="171">
        <f t="shared" si="18"/>
        <v>0</v>
      </c>
    </row>
    <row r="89" spans="1:12" ht="15.75" hidden="1" customHeight="1">
      <c r="A89" s="171">
        <f t="shared" si="6"/>
        <v>0</v>
      </c>
      <c r="B89" s="171">
        <f t="shared" si="7"/>
        <v>0</v>
      </c>
      <c r="C89" s="171">
        <f t="shared" ref="C89:H89" si="19">C32*$B$63</f>
        <v>0</v>
      </c>
      <c r="D89" s="171">
        <f t="shared" si="19"/>
        <v>0</v>
      </c>
      <c r="E89" s="171">
        <f t="shared" si="19"/>
        <v>0</v>
      </c>
      <c r="F89" s="171">
        <f t="shared" si="19"/>
        <v>0</v>
      </c>
      <c r="G89" s="171">
        <f t="shared" si="19"/>
        <v>0</v>
      </c>
      <c r="H89" s="171">
        <f t="shared" si="19"/>
        <v>0</v>
      </c>
    </row>
    <row r="90" spans="1:12" ht="15.75" hidden="1" customHeight="1">
      <c r="A90" s="57"/>
      <c r="B90" s="171"/>
      <c r="C90" s="171"/>
      <c r="D90" s="171"/>
      <c r="E90" s="171"/>
      <c r="F90" s="171"/>
      <c r="G90" s="171"/>
      <c r="H90" s="171"/>
      <c r="J90" s="39"/>
      <c r="K90" s="39"/>
      <c r="L90" s="39"/>
    </row>
    <row r="91" spans="1:12" ht="15.75" hidden="1" customHeight="1">
      <c r="A91" s="171" t="str">
        <f t="shared" ref="A91:A116" si="20">A34</f>
        <v>Fruit  &amp; Vegetables Crop Production Details</v>
      </c>
      <c r="B91" s="171"/>
      <c r="C91" s="171"/>
      <c r="D91" s="171"/>
      <c r="E91" s="171"/>
      <c r="F91" s="171"/>
      <c r="G91" s="171"/>
      <c r="H91" s="171"/>
      <c r="J91" s="39"/>
      <c r="K91" s="39"/>
      <c r="L91" s="39"/>
    </row>
    <row r="92" spans="1:12" ht="15.75" hidden="1" customHeight="1">
      <c r="A92" s="171" t="str">
        <f t="shared" si="20"/>
        <v>Onion</v>
      </c>
      <c r="B92" s="171">
        <f t="shared" ref="B92:H92" si="21">B35</f>
        <v>0</v>
      </c>
      <c r="C92" s="171">
        <f t="shared" si="21"/>
        <v>0</v>
      </c>
      <c r="D92" s="171">
        <f t="shared" si="21"/>
        <v>0</v>
      </c>
      <c r="E92" s="171">
        <f t="shared" si="21"/>
        <v>0</v>
      </c>
      <c r="F92" s="171">
        <f t="shared" si="21"/>
        <v>0</v>
      </c>
      <c r="G92" s="171">
        <f t="shared" si="21"/>
        <v>0</v>
      </c>
      <c r="H92" s="171">
        <f t="shared" si="21"/>
        <v>0</v>
      </c>
      <c r="J92" s="39"/>
      <c r="K92" s="39"/>
      <c r="L92" s="39"/>
    </row>
    <row r="93" spans="1:12" ht="15.75" hidden="1" customHeight="1">
      <c r="A93" s="171" t="str">
        <f t="shared" si="20"/>
        <v>Tomato</v>
      </c>
      <c r="B93" s="171">
        <f t="shared" ref="B93:H93" si="22">B36</f>
        <v>0</v>
      </c>
      <c r="C93" s="171">
        <f t="shared" si="22"/>
        <v>0</v>
      </c>
      <c r="D93" s="171">
        <f t="shared" si="22"/>
        <v>0</v>
      </c>
      <c r="E93" s="171">
        <f t="shared" si="22"/>
        <v>0</v>
      </c>
      <c r="F93" s="171">
        <f t="shared" si="22"/>
        <v>0</v>
      </c>
      <c r="G93" s="171">
        <f t="shared" si="22"/>
        <v>0</v>
      </c>
      <c r="H93" s="171">
        <f t="shared" si="22"/>
        <v>0</v>
      </c>
      <c r="J93" s="39"/>
      <c r="K93" s="39"/>
      <c r="L93" s="39"/>
    </row>
    <row r="94" spans="1:12" ht="15.75" hidden="1" customHeight="1">
      <c r="A94" s="171" t="str">
        <f t="shared" si="20"/>
        <v>Okra</v>
      </c>
      <c r="B94" s="171">
        <f t="shared" ref="B94:H94" si="23">B37</f>
        <v>0</v>
      </c>
      <c r="C94" s="171">
        <f t="shared" si="23"/>
        <v>0</v>
      </c>
      <c r="D94" s="171">
        <f t="shared" si="23"/>
        <v>0</v>
      </c>
      <c r="E94" s="171">
        <f t="shared" si="23"/>
        <v>0</v>
      </c>
      <c r="F94" s="171">
        <f t="shared" si="23"/>
        <v>0</v>
      </c>
      <c r="G94" s="171">
        <f t="shared" si="23"/>
        <v>0</v>
      </c>
      <c r="H94" s="171">
        <f t="shared" si="23"/>
        <v>0</v>
      </c>
      <c r="J94" s="39"/>
      <c r="K94" s="39"/>
      <c r="L94" s="39"/>
    </row>
    <row r="95" spans="1:12" ht="15.75" hidden="1" customHeight="1">
      <c r="A95" s="171" t="str">
        <f t="shared" si="20"/>
        <v>Chilli</v>
      </c>
      <c r="B95" s="171">
        <f t="shared" ref="B95:H95" si="24">B38</f>
        <v>0</v>
      </c>
      <c r="C95" s="171">
        <f t="shared" si="24"/>
        <v>0</v>
      </c>
      <c r="D95" s="171">
        <f t="shared" si="24"/>
        <v>0</v>
      </c>
      <c r="E95" s="171">
        <f t="shared" si="24"/>
        <v>0</v>
      </c>
      <c r="F95" s="171">
        <f t="shared" si="24"/>
        <v>0</v>
      </c>
      <c r="G95" s="171">
        <f t="shared" si="24"/>
        <v>0</v>
      </c>
      <c r="H95" s="171">
        <f t="shared" si="24"/>
        <v>0</v>
      </c>
      <c r="J95" s="39"/>
      <c r="K95" s="39"/>
      <c r="L95" s="39"/>
    </row>
    <row r="96" spans="1:12" ht="15.75" hidden="1" customHeight="1">
      <c r="A96" s="171" t="str">
        <f t="shared" si="20"/>
        <v>Potato</v>
      </c>
      <c r="B96" s="171">
        <f t="shared" ref="B96:H96" si="25">B39</f>
        <v>0</v>
      </c>
      <c r="C96" s="171">
        <f t="shared" si="25"/>
        <v>0</v>
      </c>
      <c r="D96" s="171">
        <f t="shared" si="25"/>
        <v>0</v>
      </c>
      <c r="E96" s="171">
        <f t="shared" si="25"/>
        <v>0</v>
      </c>
      <c r="F96" s="171">
        <f t="shared" si="25"/>
        <v>0</v>
      </c>
      <c r="G96" s="171">
        <f t="shared" si="25"/>
        <v>0</v>
      </c>
      <c r="H96" s="171">
        <f t="shared" si="25"/>
        <v>0</v>
      </c>
      <c r="J96" s="39"/>
      <c r="K96" s="39"/>
      <c r="L96" s="39"/>
    </row>
    <row r="97" spans="1:12" ht="15.75" hidden="1" customHeight="1">
      <c r="A97" s="171">
        <f t="shared" si="20"/>
        <v>0</v>
      </c>
      <c r="B97" s="171">
        <f t="shared" ref="B97:H97" si="26">B40</f>
        <v>0</v>
      </c>
      <c r="C97" s="171">
        <f t="shared" si="26"/>
        <v>0</v>
      </c>
      <c r="D97" s="171">
        <f t="shared" si="26"/>
        <v>0</v>
      </c>
      <c r="E97" s="171">
        <f t="shared" si="26"/>
        <v>0</v>
      </c>
      <c r="F97" s="171">
        <f t="shared" si="26"/>
        <v>0</v>
      </c>
      <c r="G97" s="171">
        <f t="shared" si="26"/>
        <v>0</v>
      </c>
      <c r="H97" s="171">
        <f t="shared" si="26"/>
        <v>0</v>
      </c>
      <c r="J97" s="39"/>
      <c r="K97" s="39"/>
      <c r="L97" s="39"/>
    </row>
    <row r="98" spans="1:12" ht="15.75" hidden="1" customHeight="1">
      <c r="A98" s="171">
        <f t="shared" si="20"/>
        <v>0</v>
      </c>
      <c r="B98" s="171">
        <f t="shared" ref="B98:H98" si="27">B41</f>
        <v>0</v>
      </c>
      <c r="C98" s="171">
        <f t="shared" si="27"/>
        <v>0</v>
      </c>
      <c r="D98" s="171">
        <f t="shared" si="27"/>
        <v>0</v>
      </c>
      <c r="E98" s="171">
        <f t="shared" si="27"/>
        <v>0</v>
      </c>
      <c r="F98" s="171">
        <f t="shared" si="27"/>
        <v>0</v>
      </c>
      <c r="G98" s="171">
        <f t="shared" si="27"/>
        <v>0</v>
      </c>
      <c r="H98" s="171">
        <f t="shared" si="27"/>
        <v>0</v>
      </c>
      <c r="J98" s="39"/>
      <c r="K98" s="39"/>
      <c r="L98" s="39"/>
    </row>
    <row r="99" spans="1:12" ht="15.75" hidden="1" customHeight="1">
      <c r="A99" s="171">
        <f t="shared" si="20"/>
        <v>0</v>
      </c>
      <c r="B99" s="171">
        <f t="shared" ref="B99:H99" si="28">B42</f>
        <v>0</v>
      </c>
      <c r="C99" s="171">
        <f t="shared" si="28"/>
        <v>0</v>
      </c>
      <c r="D99" s="171">
        <f t="shared" si="28"/>
        <v>0</v>
      </c>
      <c r="E99" s="171">
        <f t="shared" si="28"/>
        <v>0</v>
      </c>
      <c r="F99" s="171">
        <f t="shared" si="28"/>
        <v>0</v>
      </c>
      <c r="G99" s="171">
        <f t="shared" si="28"/>
        <v>0</v>
      </c>
      <c r="H99" s="171">
        <f t="shared" si="28"/>
        <v>0</v>
      </c>
      <c r="J99" s="39"/>
      <c r="K99" s="39"/>
      <c r="L99" s="39"/>
    </row>
    <row r="100" spans="1:12" ht="15.75" hidden="1" customHeight="1">
      <c r="A100" s="171">
        <f t="shared" si="20"/>
        <v>0</v>
      </c>
      <c r="B100" s="171">
        <f t="shared" ref="B100:H100" si="29">B43</f>
        <v>0</v>
      </c>
      <c r="C100" s="171">
        <f t="shared" si="29"/>
        <v>0</v>
      </c>
      <c r="D100" s="171">
        <f t="shared" si="29"/>
        <v>0</v>
      </c>
      <c r="E100" s="171">
        <f t="shared" si="29"/>
        <v>0</v>
      </c>
      <c r="F100" s="171">
        <f t="shared" si="29"/>
        <v>0</v>
      </c>
      <c r="G100" s="171">
        <f t="shared" si="29"/>
        <v>0</v>
      </c>
      <c r="H100" s="171">
        <f t="shared" si="29"/>
        <v>0</v>
      </c>
      <c r="J100" s="39"/>
      <c r="K100" s="39"/>
      <c r="L100" s="39"/>
    </row>
    <row r="101" spans="1:12" ht="15.75" hidden="1" customHeight="1">
      <c r="A101" s="171" t="str">
        <f t="shared" si="20"/>
        <v>Onion</v>
      </c>
      <c r="B101" s="171">
        <f t="shared" ref="B101:H101" si="30">B44</f>
        <v>0</v>
      </c>
      <c r="C101" s="171">
        <f t="shared" si="30"/>
        <v>0</v>
      </c>
      <c r="D101" s="171">
        <f t="shared" si="30"/>
        <v>0</v>
      </c>
      <c r="E101" s="171">
        <f t="shared" si="30"/>
        <v>0</v>
      </c>
      <c r="F101" s="171">
        <f t="shared" si="30"/>
        <v>0</v>
      </c>
      <c r="G101" s="171">
        <f t="shared" si="30"/>
        <v>0</v>
      </c>
      <c r="H101" s="171">
        <f t="shared" si="30"/>
        <v>0</v>
      </c>
      <c r="J101" s="39"/>
      <c r="K101" s="39"/>
      <c r="L101" s="39"/>
    </row>
    <row r="102" spans="1:12" ht="15.75" hidden="1" customHeight="1">
      <c r="A102" s="171" t="str">
        <f t="shared" si="20"/>
        <v>Tomato</v>
      </c>
      <c r="B102" s="171">
        <f t="shared" ref="B102:H102" si="31">B45</f>
        <v>0</v>
      </c>
      <c r="C102" s="171">
        <f t="shared" si="31"/>
        <v>0</v>
      </c>
      <c r="D102" s="171">
        <f t="shared" si="31"/>
        <v>0</v>
      </c>
      <c r="E102" s="171">
        <f t="shared" si="31"/>
        <v>0</v>
      </c>
      <c r="F102" s="171">
        <f t="shared" si="31"/>
        <v>0</v>
      </c>
      <c r="G102" s="171">
        <f t="shared" si="31"/>
        <v>0</v>
      </c>
      <c r="H102" s="171">
        <f t="shared" si="31"/>
        <v>0</v>
      </c>
      <c r="J102" s="39"/>
      <c r="K102" s="39"/>
      <c r="L102" s="39"/>
    </row>
    <row r="103" spans="1:12" ht="15.75" hidden="1" customHeight="1">
      <c r="A103" s="171" t="str">
        <f t="shared" si="20"/>
        <v>Okra</v>
      </c>
      <c r="B103" s="171">
        <f t="shared" ref="B103:H103" si="32">B46</f>
        <v>0</v>
      </c>
      <c r="C103" s="171">
        <f t="shared" si="32"/>
        <v>0</v>
      </c>
      <c r="D103" s="171">
        <f t="shared" si="32"/>
        <v>0</v>
      </c>
      <c r="E103" s="171">
        <f t="shared" si="32"/>
        <v>0</v>
      </c>
      <c r="F103" s="171">
        <f t="shared" si="32"/>
        <v>0</v>
      </c>
      <c r="G103" s="171">
        <f t="shared" si="32"/>
        <v>0</v>
      </c>
      <c r="H103" s="171">
        <f t="shared" si="32"/>
        <v>0</v>
      </c>
      <c r="J103" s="39"/>
      <c r="K103" s="39"/>
      <c r="L103" s="39"/>
    </row>
    <row r="104" spans="1:12" ht="15.75" hidden="1" customHeight="1">
      <c r="A104" s="171" t="str">
        <f t="shared" si="20"/>
        <v>Chilli</v>
      </c>
      <c r="B104" s="171">
        <f t="shared" ref="B104:H104" si="33">B47</f>
        <v>0</v>
      </c>
      <c r="C104" s="171">
        <f t="shared" si="33"/>
        <v>0</v>
      </c>
      <c r="D104" s="171">
        <f t="shared" si="33"/>
        <v>0</v>
      </c>
      <c r="E104" s="171">
        <f t="shared" si="33"/>
        <v>0</v>
      </c>
      <c r="F104" s="171">
        <f t="shared" si="33"/>
        <v>0</v>
      </c>
      <c r="G104" s="171">
        <f t="shared" si="33"/>
        <v>0</v>
      </c>
      <c r="H104" s="171">
        <f t="shared" si="33"/>
        <v>0</v>
      </c>
      <c r="J104" s="39"/>
      <c r="K104" s="39"/>
      <c r="L104" s="39"/>
    </row>
    <row r="105" spans="1:12" ht="15.75" hidden="1" customHeight="1">
      <c r="A105" s="171" t="str">
        <f t="shared" si="20"/>
        <v>Brinjal</v>
      </c>
      <c r="B105" s="171">
        <f t="shared" ref="B105:H105" si="34">B48</f>
        <v>0</v>
      </c>
      <c r="C105" s="171">
        <f t="shared" si="34"/>
        <v>0</v>
      </c>
      <c r="D105" s="171">
        <f t="shared" si="34"/>
        <v>0</v>
      </c>
      <c r="E105" s="171">
        <f t="shared" si="34"/>
        <v>0</v>
      </c>
      <c r="F105" s="171">
        <f t="shared" si="34"/>
        <v>0</v>
      </c>
      <c r="G105" s="171">
        <f t="shared" si="34"/>
        <v>0</v>
      </c>
      <c r="H105" s="171">
        <f t="shared" si="34"/>
        <v>0</v>
      </c>
      <c r="J105" s="39"/>
      <c r="K105" s="39"/>
      <c r="L105" s="39"/>
    </row>
    <row r="106" spans="1:12" ht="15.75" hidden="1" customHeight="1">
      <c r="A106" s="171">
        <f t="shared" si="20"/>
        <v>0</v>
      </c>
      <c r="B106" s="171">
        <f t="shared" ref="B106:H106" si="35">B49</f>
        <v>0</v>
      </c>
      <c r="C106" s="171">
        <f t="shared" si="35"/>
        <v>0</v>
      </c>
      <c r="D106" s="171">
        <f t="shared" si="35"/>
        <v>0</v>
      </c>
      <c r="E106" s="171">
        <f t="shared" si="35"/>
        <v>0</v>
      </c>
      <c r="F106" s="171">
        <f t="shared" si="35"/>
        <v>0</v>
      </c>
      <c r="G106" s="171">
        <f t="shared" si="35"/>
        <v>0</v>
      </c>
      <c r="H106" s="171">
        <f t="shared" si="35"/>
        <v>0</v>
      </c>
      <c r="J106" s="39"/>
      <c r="K106" s="39"/>
      <c r="L106" s="39"/>
    </row>
    <row r="107" spans="1:12" ht="15.75" hidden="1" customHeight="1">
      <c r="A107" s="171">
        <f t="shared" si="20"/>
        <v>0</v>
      </c>
      <c r="B107" s="171">
        <f t="shared" ref="B107:H107" si="36">B50</f>
        <v>0</v>
      </c>
      <c r="C107" s="171">
        <f t="shared" si="36"/>
        <v>0</v>
      </c>
      <c r="D107" s="171">
        <f t="shared" si="36"/>
        <v>0</v>
      </c>
      <c r="E107" s="171">
        <f t="shared" si="36"/>
        <v>0</v>
      </c>
      <c r="F107" s="171">
        <f t="shared" si="36"/>
        <v>0</v>
      </c>
      <c r="G107" s="171">
        <f t="shared" si="36"/>
        <v>0</v>
      </c>
      <c r="H107" s="171">
        <f t="shared" si="36"/>
        <v>0</v>
      </c>
      <c r="J107" s="39"/>
      <c r="K107" s="39"/>
      <c r="L107" s="39"/>
    </row>
    <row r="108" spans="1:12" ht="15.75" hidden="1" customHeight="1">
      <c r="A108" s="171">
        <f t="shared" si="20"/>
        <v>0</v>
      </c>
      <c r="B108" s="171">
        <f t="shared" ref="B108:H108" si="37">B51</f>
        <v>0</v>
      </c>
      <c r="C108" s="171">
        <f t="shared" si="37"/>
        <v>0</v>
      </c>
      <c r="D108" s="171">
        <f t="shared" si="37"/>
        <v>0</v>
      </c>
      <c r="E108" s="171">
        <f t="shared" si="37"/>
        <v>0</v>
      </c>
      <c r="F108" s="171">
        <f t="shared" si="37"/>
        <v>0</v>
      </c>
      <c r="G108" s="171">
        <f t="shared" si="37"/>
        <v>0</v>
      </c>
      <c r="H108" s="171">
        <f t="shared" si="37"/>
        <v>0</v>
      </c>
      <c r="J108" s="39"/>
      <c r="K108" s="39"/>
      <c r="L108" s="39"/>
    </row>
    <row r="109" spans="1:12" ht="15.75" hidden="1" customHeight="1">
      <c r="A109" s="171">
        <f t="shared" si="20"/>
        <v>0</v>
      </c>
      <c r="B109" s="171">
        <f t="shared" ref="B109:H109" si="38">B52</f>
        <v>0</v>
      </c>
      <c r="C109" s="171">
        <f t="shared" si="38"/>
        <v>0</v>
      </c>
      <c r="D109" s="171">
        <f t="shared" si="38"/>
        <v>0</v>
      </c>
      <c r="E109" s="171">
        <f t="shared" si="38"/>
        <v>0</v>
      </c>
      <c r="F109" s="171">
        <f t="shared" si="38"/>
        <v>0</v>
      </c>
      <c r="G109" s="171">
        <f t="shared" si="38"/>
        <v>0</v>
      </c>
      <c r="H109" s="171">
        <f t="shared" si="38"/>
        <v>0</v>
      </c>
      <c r="J109" s="39"/>
      <c r="K109" s="39"/>
      <c r="L109" s="39"/>
    </row>
    <row r="110" spans="1:12" ht="15.75" hidden="1" customHeight="1">
      <c r="A110" s="171">
        <f t="shared" si="20"/>
        <v>0</v>
      </c>
      <c r="B110" s="171"/>
      <c r="C110" s="171"/>
      <c r="D110" s="171"/>
      <c r="E110" s="171"/>
      <c r="F110" s="171"/>
      <c r="G110" s="171"/>
      <c r="H110" s="171"/>
      <c r="J110" s="39"/>
      <c r="K110" s="39"/>
      <c r="L110" s="39"/>
    </row>
    <row r="111" spans="1:12" ht="15.75" hidden="1" customHeight="1">
      <c r="A111" s="171">
        <f t="shared" si="20"/>
        <v>0</v>
      </c>
      <c r="B111" s="171"/>
      <c r="C111" s="171"/>
      <c r="D111" s="171"/>
      <c r="E111" s="171"/>
      <c r="F111" s="171"/>
      <c r="G111" s="171"/>
      <c r="H111" s="171"/>
      <c r="J111" s="39"/>
      <c r="K111" s="39"/>
      <c r="L111" s="39"/>
    </row>
    <row r="112" spans="1:12" ht="15.75" hidden="1" customHeight="1">
      <c r="A112" s="171">
        <f t="shared" si="20"/>
        <v>0</v>
      </c>
      <c r="B112" s="171"/>
      <c r="C112" s="171"/>
      <c r="D112" s="171"/>
      <c r="E112" s="171"/>
      <c r="F112" s="171"/>
      <c r="G112" s="171"/>
      <c r="H112" s="171"/>
      <c r="J112" s="39"/>
      <c r="K112" s="39"/>
      <c r="L112" s="39"/>
    </row>
    <row r="113" spans="1:12" ht="15.75" hidden="1" customHeight="1">
      <c r="A113" s="171" t="str">
        <f t="shared" si="20"/>
        <v>Pomegranate</v>
      </c>
      <c r="B113" s="171">
        <f t="shared" ref="B113:H113" si="39">B56</f>
        <v>0</v>
      </c>
      <c r="C113" s="171">
        <f t="shared" si="39"/>
        <v>0</v>
      </c>
      <c r="D113" s="171">
        <f t="shared" si="39"/>
        <v>0</v>
      </c>
      <c r="E113" s="171">
        <f t="shared" si="39"/>
        <v>0</v>
      </c>
      <c r="F113" s="171">
        <f t="shared" si="39"/>
        <v>0</v>
      </c>
      <c r="G113" s="171">
        <f t="shared" si="39"/>
        <v>0</v>
      </c>
      <c r="H113" s="171">
        <f t="shared" si="39"/>
        <v>0</v>
      </c>
      <c r="J113" s="39"/>
      <c r="K113" s="39"/>
      <c r="L113" s="39"/>
    </row>
    <row r="114" spans="1:12" ht="15.75" hidden="1" customHeight="1">
      <c r="A114" s="171" t="str">
        <f t="shared" si="20"/>
        <v>Custard Apple</v>
      </c>
      <c r="B114" s="171">
        <f t="shared" ref="B114:H114" si="40">B57</f>
        <v>0</v>
      </c>
      <c r="C114" s="171">
        <f t="shared" si="40"/>
        <v>0</v>
      </c>
      <c r="D114" s="171">
        <f t="shared" si="40"/>
        <v>0</v>
      </c>
      <c r="E114" s="171">
        <f t="shared" si="40"/>
        <v>0</v>
      </c>
      <c r="F114" s="171">
        <f t="shared" si="40"/>
        <v>0</v>
      </c>
      <c r="G114" s="171">
        <f t="shared" si="40"/>
        <v>0</v>
      </c>
      <c r="H114" s="171">
        <f t="shared" si="40"/>
        <v>0</v>
      </c>
      <c r="J114" s="39"/>
      <c r="K114" s="39"/>
      <c r="L114" s="39"/>
    </row>
    <row r="115" spans="1:12" ht="15.75" hidden="1" customHeight="1">
      <c r="A115" s="171" t="str">
        <f t="shared" si="20"/>
        <v>Guava</v>
      </c>
      <c r="B115" s="171">
        <f t="shared" ref="B115:H115" si="41">B58</f>
        <v>0</v>
      </c>
      <c r="C115" s="171">
        <f t="shared" si="41"/>
        <v>0</v>
      </c>
      <c r="D115" s="171">
        <f t="shared" si="41"/>
        <v>0</v>
      </c>
      <c r="E115" s="171">
        <f t="shared" si="41"/>
        <v>0</v>
      </c>
      <c r="F115" s="171">
        <f t="shared" si="41"/>
        <v>0</v>
      </c>
      <c r="G115" s="171">
        <f t="shared" si="41"/>
        <v>0</v>
      </c>
      <c r="H115" s="171">
        <f t="shared" si="41"/>
        <v>0</v>
      </c>
      <c r="J115" s="39"/>
      <c r="K115" s="39"/>
      <c r="L115" s="39"/>
    </row>
    <row r="116" spans="1:12" ht="15.75" hidden="1" customHeight="1">
      <c r="A116" s="171" t="str">
        <f t="shared" si="20"/>
        <v>Citrus</v>
      </c>
      <c r="B116" s="171">
        <f t="shared" ref="B116:H116" si="42">B59</f>
        <v>0</v>
      </c>
      <c r="C116" s="171">
        <f t="shared" si="42"/>
        <v>0</v>
      </c>
      <c r="D116" s="171">
        <f t="shared" si="42"/>
        <v>0</v>
      </c>
      <c r="E116" s="171">
        <f t="shared" si="42"/>
        <v>0</v>
      </c>
      <c r="F116" s="171">
        <f t="shared" si="42"/>
        <v>0</v>
      </c>
      <c r="G116" s="171">
        <f t="shared" si="42"/>
        <v>0</v>
      </c>
      <c r="H116" s="171">
        <f t="shared" si="42"/>
        <v>0</v>
      </c>
      <c r="J116" s="39"/>
      <c r="K116" s="39"/>
      <c r="L116" s="39"/>
    </row>
    <row r="117" spans="1:12" ht="15.75" hidden="1" customHeight="1">
      <c r="A117" s="57"/>
      <c r="B117" s="171"/>
      <c r="C117" s="171"/>
      <c r="D117" s="171"/>
      <c r="E117" s="171"/>
      <c r="F117" s="171"/>
      <c r="G117" s="171"/>
      <c r="H117" s="171"/>
      <c r="J117" s="39"/>
      <c r="K117" s="39"/>
      <c r="L117" s="39"/>
    </row>
    <row r="118" spans="1:12" ht="15.75" hidden="1" customHeight="1">
      <c r="A118" s="57"/>
      <c r="B118" s="171"/>
      <c r="C118" s="171"/>
      <c r="D118" s="171"/>
      <c r="E118" s="171"/>
      <c r="F118" s="171"/>
      <c r="G118" s="171"/>
      <c r="H118" s="171"/>
      <c r="J118" s="39"/>
      <c r="K118" s="39"/>
      <c r="L118" s="39"/>
    </row>
    <row r="119" spans="1:12" ht="15.75" customHeight="1">
      <c r="A119" s="60" t="s">
        <v>577</v>
      </c>
      <c r="B119" s="57"/>
      <c r="C119" s="57"/>
      <c r="D119" s="57"/>
      <c r="E119" s="57"/>
      <c r="F119" s="57"/>
      <c r="G119" s="57"/>
      <c r="H119" s="57"/>
    </row>
    <row r="120" spans="1:12" ht="15.75" customHeight="1">
      <c r="A120" s="171" t="str">
        <f t="shared" ref="A120:A141" si="43">A68</f>
        <v>Soybean</v>
      </c>
      <c r="B120" s="144">
        <f t="shared" ref="B120:H120" si="44">B68-(B68*$G$6)</f>
        <v>14021.471250000001</v>
      </c>
      <c r="C120" s="144">
        <f t="shared" si="44"/>
        <v>15423.618375</v>
      </c>
      <c r="D120" s="144">
        <f t="shared" si="44"/>
        <v>16825.765500000001</v>
      </c>
      <c r="E120" s="144">
        <f t="shared" si="44"/>
        <v>18227.912625000004</v>
      </c>
      <c r="F120" s="144">
        <f t="shared" si="44"/>
        <v>19630.059750000004</v>
      </c>
      <c r="G120" s="144">
        <f t="shared" si="44"/>
        <v>21032.206875000007</v>
      </c>
      <c r="H120" s="144">
        <f t="shared" si="44"/>
        <v>22434.354000000007</v>
      </c>
    </row>
    <row r="121" spans="1:12" ht="15.75" customHeight="1">
      <c r="A121" s="171" t="str">
        <f t="shared" si="43"/>
        <v>Red Gram/Tur</v>
      </c>
      <c r="B121" s="144">
        <f t="shared" ref="B121:H121" si="45">B69-(B69*$G$6)</f>
        <v>3552.1060500000003</v>
      </c>
      <c r="C121" s="144">
        <f t="shared" si="45"/>
        <v>3907.3166550000001</v>
      </c>
      <c r="D121" s="144">
        <f t="shared" si="45"/>
        <v>4262.5272600000008</v>
      </c>
      <c r="E121" s="144">
        <f t="shared" si="45"/>
        <v>4617.7378650000001</v>
      </c>
      <c r="F121" s="144">
        <f t="shared" si="45"/>
        <v>4972.9484700000012</v>
      </c>
      <c r="G121" s="144">
        <f t="shared" si="45"/>
        <v>5328.1590750000023</v>
      </c>
      <c r="H121" s="144">
        <f t="shared" si="45"/>
        <v>5683.3696800000016</v>
      </c>
    </row>
    <row r="122" spans="1:12" ht="15.75" hidden="1" customHeight="1">
      <c r="A122" s="171" t="str">
        <f t="shared" si="43"/>
        <v>Paddy/Rice</v>
      </c>
      <c r="B122" s="144">
        <f t="shared" ref="B122:H122" si="46">B70-(B70*$G$6)</f>
        <v>0</v>
      </c>
      <c r="C122" s="144">
        <f t="shared" si="46"/>
        <v>0</v>
      </c>
      <c r="D122" s="144">
        <f t="shared" si="46"/>
        <v>0</v>
      </c>
      <c r="E122" s="144">
        <f t="shared" si="46"/>
        <v>0</v>
      </c>
      <c r="F122" s="144">
        <f t="shared" si="46"/>
        <v>0</v>
      </c>
      <c r="G122" s="144">
        <f t="shared" si="46"/>
        <v>0</v>
      </c>
      <c r="H122" s="144">
        <f t="shared" si="46"/>
        <v>0</v>
      </c>
    </row>
    <row r="123" spans="1:12" ht="15.75" customHeight="1">
      <c r="A123" s="171" t="str">
        <f t="shared" si="43"/>
        <v>Green Gram/ Moong</v>
      </c>
      <c r="B123" s="144">
        <f t="shared" ref="B123:H123" si="47">B71-(B71*$G$6)</f>
        <v>2290.1736375</v>
      </c>
      <c r="C123" s="144">
        <f t="shared" si="47"/>
        <v>2519.1910012499998</v>
      </c>
      <c r="D123" s="144">
        <f t="shared" si="47"/>
        <v>2748.2083650000004</v>
      </c>
      <c r="E123" s="144">
        <f t="shared" si="47"/>
        <v>2977.2257287500001</v>
      </c>
      <c r="F123" s="144">
        <f t="shared" si="47"/>
        <v>3206.2430925000003</v>
      </c>
      <c r="G123" s="144">
        <f t="shared" si="47"/>
        <v>3435.2604562500005</v>
      </c>
      <c r="H123" s="144">
        <f t="shared" si="47"/>
        <v>3664.2778200000007</v>
      </c>
    </row>
    <row r="124" spans="1:12" ht="15.75" hidden="1" customHeight="1">
      <c r="A124" s="171" t="str">
        <f t="shared" si="43"/>
        <v>Maize</v>
      </c>
      <c r="B124" s="144">
        <f t="shared" ref="B124:H124" si="48">B72-(B72*$G$6)</f>
        <v>0</v>
      </c>
      <c r="C124" s="144">
        <f t="shared" si="48"/>
        <v>0</v>
      </c>
      <c r="D124" s="144">
        <f t="shared" si="48"/>
        <v>0</v>
      </c>
      <c r="E124" s="144">
        <f t="shared" si="48"/>
        <v>0</v>
      </c>
      <c r="F124" s="144">
        <f t="shared" si="48"/>
        <v>0</v>
      </c>
      <c r="G124" s="144">
        <f t="shared" si="48"/>
        <v>0</v>
      </c>
      <c r="H124" s="144">
        <f t="shared" si="48"/>
        <v>0</v>
      </c>
    </row>
    <row r="125" spans="1:12" ht="15.75" customHeight="1">
      <c r="A125" s="171" t="str">
        <f t="shared" si="43"/>
        <v>Black Gram/Udid</v>
      </c>
      <c r="B125" s="144">
        <f t="shared" ref="B125:H125" si="49">B73-(B73*$G$6)</f>
        <v>1402.1471249999997</v>
      </c>
      <c r="C125" s="144">
        <f t="shared" si="49"/>
        <v>1542.3618375000001</v>
      </c>
      <c r="D125" s="144">
        <f t="shared" si="49"/>
        <v>1682.5765500000002</v>
      </c>
      <c r="E125" s="144">
        <f t="shared" si="49"/>
        <v>1822.7912625000001</v>
      </c>
      <c r="F125" s="144">
        <f t="shared" si="49"/>
        <v>1963.0059750000003</v>
      </c>
      <c r="G125" s="144">
        <f t="shared" si="49"/>
        <v>2103.2206875000002</v>
      </c>
      <c r="H125" s="144">
        <f t="shared" si="49"/>
        <v>2243.4354000000008</v>
      </c>
    </row>
    <row r="126" spans="1:12" ht="15.75" hidden="1" customHeight="1">
      <c r="A126" s="171" t="str">
        <f t="shared" si="43"/>
        <v>Bajra</v>
      </c>
      <c r="B126" s="144">
        <f t="shared" ref="B126:H126" si="50">B74-(B74*$G$6)</f>
        <v>0</v>
      </c>
      <c r="C126" s="144">
        <f t="shared" si="50"/>
        <v>0</v>
      </c>
      <c r="D126" s="144">
        <f t="shared" si="50"/>
        <v>0</v>
      </c>
      <c r="E126" s="144">
        <f t="shared" si="50"/>
        <v>0</v>
      </c>
      <c r="F126" s="144">
        <f t="shared" si="50"/>
        <v>0</v>
      </c>
      <c r="G126" s="144">
        <f t="shared" si="50"/>
        <v>0</v>
      </c>
      <c r="H126" s="144">
        <f t="shared" si="50"/>
        <v>0</v>
      </c>
    </row>
    <row r="127" spans="1:12" ht="15.75" hidden="1" customHeight="1">
      <c r="A127" s="171" t="str">
        <f t="shared" si="43"/>
        <v>Jawar</v>
      </c>
      <c r="B127" s="144">
        <f t="shared" ref="B127:H127" si="51">B75-(B75*$G$6)</f>
        <v>0</v>
      </c>
      <c r="C127" s="144">
        <f t="shared" si="51"/>
        <v>0</v>
      </c>
      <c r="D127" s="144">
        <f t="shared" si="51"/>
        <v>0</v>
      </c>
      <c r="E127" s="144">
        <f t="shared" si="51"/>
        <v>0</v>
      </c>
      <c r="F127" s="144">
        <f t="shared" si="51"/>
        <v>0</v>
      </c>
      <c r="G127" s="144">
        <f t="shared" si="51"/>
        <v>0</v>
      </c>
      <c r="H127" s="144">
        <f t="shared" si="51"/>
        <v>0</v>
      </c>
    </row>
    <row r="128" spans="1:12" ht="15.75" hidden="1" customHeight="1">
      <c r="A128" s="171" t="str">
        <f t="shared" si="43"/>
        <v>Sunflower</v>
      </c>
      <c r="B128" s="144">
        <f t="shared" ref="B128:H128" si="52">B76-(B76*$G$6)</f>
        <v>0</v>
      </c>
      <c r="C128" s="144">
        <f t="shared" si="52"/>
        <v>0</v>
      </c>
      <c r="D128" s="144">
        <f t="shared" si="52"/>
        <v>0</v>
      </c>
      <c r="E128" s="144">
        <f t="shared" si="52"/>
        <v>0</v>
      </c>
      <c r="F128" s="144">
        <f t="shared" si="52"/>
        <v>0</v>
      </c>
      <c r="G128" s="144">
        <f t="shared" si="52"/>
        <v>0</v>
      </c>
      <c r="H128" s="144">
        <f t="shared" si="52"/>
        <v>0</v>
      </c>
    </row>
    <row r="129" spans="1:8" ht="15.75" customHeight="1">
      <c r="A129" s="171" t="str">
        <f t="shared" si="43"/>
        <v>Wheat</v>
      </c>
      <c r="B129" s="144">
        <f t="shared" ref="B129:H129" si="53">B77-(B77*$G$6)</f>
        <v>1514.3188949999997</v>
      </c>
      <c r="C129" s="144">
        <f t="shared" si="53"/>
        <v>1665.7507844999998</v>
      </c>
      <c r="D129" s="144">
        <f t="shared" si="53"/>
        <v>1817.1826739999997</v>
      </c>
      <c r="E129" s="144">
        <f t="shared" si="53"/>
        <v>1968.6145635</v>
      </c>
      <c r="F129" s="144">
        <f t="shared" si="53"/>
        <v>2120.0464529999999</v>
      </c>
      <c r="G129" s="144">
        <f t="shared" si="53"/>
        <v>2271.4783425000001</v>
      </c>
      <c r="H129" s="144">
        <f t="shared" si="53"/>
        <v>2422.9102320000002</v>
      </c>
    </row>
    <row r="130" spans="1:8" ht="15.75" customHeight="1">
      <c r="A130" s="171" t="str">
        <f t="shared" si="43"/>
        <v>Bengal Gram/Channa</v>
      </c>
      <c r="B130" s="144">
        <f t="shared" ref="B130:H130" si="54">B78-(B78*$G$6)</f>
        <v>5889.0179249999992</v>
      </c>
      <c r="C130" s="144">
        <f t="shared" si="54"/>
        <v>6477.9197174999999</v>
      </c>
      <c r="D130" s="144">
        <f t="shared" si="54"/>
        <v>7066.8215100000007</v>
      </c>
      <c r="E130" s="144">
        <f t="shared" si="54"/>
        <v>7655.7233025000014</v>
      </c>
      <c r="F130" s="144">
        <f t="shared" si="54"/>
        <v>8244.6250950000031</v>
      </c>
      <c r="G130" s="144">
        <f t="shared" si="54"/>
        <v>8833.526887500002</v>
      </c>
      <c r="H130" s="144">
        <f t="shared" si="54"/>
        <v>9422.4286800000045</v>
      </c>
    </row>
    <row r="131" spans="1:8" ht="15.75" hidden="1" customHeight="1">
      <c r="A131" s="171" t="str">
        <f t="shared" si="43"/>
        <v>Jawar</v>
      </c>
      <c r="B131" s="144">
        <f t="shared" ref="B131:H131" si="55">B79-(B79*$G$6)</f>
        <v>0</v>
      </c>
      <c r="C131" s="144">
        <f t="shared" si="55"/>
        <v>0</v>
      </c>
      <c r="D131" s="144">
        <f t="shared" si="55"/>
        <v>0</v>
      </c>
      <c r="E131" s="144">
        <f t="shared" si="55"/>
        <v>0</v>
      </c>
      <c r="F131" s="144">
        <f t="shared" si="55"/>
        <v>0</v>
      </c>
      <c r="G131" s="144">
        <f t="shared" si="55"/>
        <v>0</v>
      </c>
      <c r="H131" s="144">
        <f t="shared" si="55"/>
        <v>0</v>
      </c>
    </row>
    <row r="132" spans="1:8" ht="15.75" hidden="1" customHeight="1">
      <c r="A132" s="171" t="str">
        <f t="shared" si="43"/>
        <v>Maize</v>
      </c>
      <c r="B132" s="144">
        <f t="shared" ref="B132:H132" si="56">B80-(B80*$G$6)</f>
        <v>0</v>
      </c>
      <c r="C132" s="144">
        <f t="shared" si="56"/>
        <v>0</v>
      </c>
      <c r="D132" s="144">
        <f t="shared" si="56"/>
        <v>0</v>
      </c>
      <c r="E132" s="144">
        <f t="shared" si="56"/>
        <v>0</v>
      </c>
      <c r="F132" s="144">
        <f t="shared" si="56"/>
        <v>0</v>
      </c>
      <c r="G132" s="144">
        <f t="shared" si="56"/>
        <v>0</v>
      </c>
      <c r="H132" s="144">
        <f t="shared" si="56"/>
        <v>0</v>
      </c>
    </row>
    <row r="133" spans="1:8" ht="15.75" hidden="1" customHeight="1">
      <c r="A133" s="171" t="str">
        <f t="shared" si="43"/>
        <v>Safflower</v>
      </c>
      <c r="B133" s="144">
        <f t="shared" ref="B133:H133" si="57">B81-(B81*$G$6)</f>
        <v>0</v>
      </c>
      <c r="C133" s="144">
        <f t="shared" si="57"/>
        <v>0</v>
      </c>
      <c r="D133" s="144">
        <f t="shared" si="57"/>
        <v>0</v>
      </c>
      <c r="E133" s="144">
        <f t="shared" si="57"/>
        <v>0</v>
      </c>
      <c r="F133" s="144">
        <f t="shared" si="57"/>
        <v>0</v>
      </c>
      <c r="G133" s="144">
        <f t="shared" si="57"/>
        <v>0</v>
      </c>
      <c r="H133" s="144">
        <f t="shared" si="57"/>
        <v>0</v>
      </c>
    </row>
    <row r="134" spans="1:8" ht="15.75" hidden="1" customHeight="1">
      <c r="A134" s="171">
        <f t="shared" si="43"/>
        <v>0</v>
      </c>
      <c r="B134" s="144">
        <f t="shared" ref="B134:H134" si="58">B82-(B82*$G$6)</f>
        <v>0</v>
      </c>
      <c r="C134" s="144">
        <f t="shared" si="58"/>
        <v>0</v>
      </c>
      <c r="D134" s="144">
        <f t="shared" si="58"/>
        <v>0</v>
      </c>
      <c r="E134" s="144">
        <f t="shared" si="58"/>
        <v>0</v>
      </c>
      <c r="F134" s="144">
        <f t="shared" si="58"/>
        <v>0</v>
      </c>
      <c r="G134" s="144">
        <f t="shared" si="58"/>
        <v>0</v>
      </c>
      <c r="H134" s="144">
        <f t="shared" si="58"/>
        <v>0</v>
      </c>
    </row>
    <row r="135" spans="1:8" ht="15.75" hidden="1" customHeight="1">
      <c r="A135" s="171">
        <f t="shared" si="43"/>
        <v>0</v>
      </c>
      <c r="B135" s="144">
        <f t="shared" ref="B135:H135" si="59">B83-(B83*$G$6)</f>
        <v>0</v>
      </c>
      <c r="C135" s="144">
        <f t="shared" si="59"/>
        <v>0</v>
      </c>
      <c r="D135" s="144">
        <f t="shared" si="59"/>
        <v>0</v>
      </c>
      <c r="E135" s="144">
        <f t="shared" si="59"/>
        <v>0</v>
      </c>
      <c r="F135" s="144">
        <f t="shared" si="59"/>
        <v>0</v>
      </c>
      <c r="G135" s="144">
        <f t="shared" si="59"/>
        <v>0</v>
      </c>
      <c r="H135" s="144">
        <f t="shared" si="59"/>
        <v>0</v>
      </c>
    </row>
    <row r="136" spans="1:8" ht="15.75" hidden="1" customHeight="1">
      <c r="A136" s="171">
        <f t="shared" si="43"/>
        <v>0</v>
      </c>
      <c r="B136" s="144">
        <f t="shared" ref="B136:H136" si="60">B84-(B84*$G$6)</f>
        <v>0</v>
      </c>
      <c r="C136" s="144">
        <f t="shared" si="60"/>
        <v>0</v>
      </c>
      <c r="D136" s="144">
        <f t="shared" si="60"/>
        <v>0</v>
      </c>
      <c r="E136" s="144">
        <f t="shared" si="60"/>
        <v>0</v>
      </c>
      <c r="F136" s="144">
        <f t="shared" si="60"/>
        <v>0</v>
      </c>
      <c r="G136" s="144">
        <f t="shared" si="60"/>
        <v>0</v>
      </c>
      <c r="H136" s="144">
        <f t="shared" si="60"/>
        <v>0</v>
      </c>
    </row>
    <row r="137" spans="1:8" ht="15.75" hidden="1" customHeight="1">
      <c r="A137" s="171" t="str">
        <f t="shared" si="43"/>
        <v>Groundnut</v>
      </c>
      <c r="B137" s="144">
        <f t="shared" ref="B137:H137" si="61">B85-(B85*$G$6)</f>
        <v>0</v>
      </c>
      <c r="C137" s="144">
        <f t="shared" si="61"/>
        <v>0</v>
      </c>
      <c r="D137" s="144">
        <f t="shared" si="61"/>
        <v>0</v>
      </c>
      <c r="E137" s="144">
        <f t="shared" si="61"/>
        <v>0</v>
      </c>
      <c r="F137" s="144">
        <f t="shared" si="61"/>
        <v>0</v>
      </c>
      <c r="G137" s="144">
        <f t="shared" si="61"/>
        <v>0</v>
      </c>
      <c r="H137" s="144">
        <f t="shared" si="61"/>
        <v>0</v>
      </c>
    </row>
    <row r="138" spans="1:8" ht="15.75" hidden="1" customHeight="1">
      <c r="A138" s="171">
        <f t="shared" si="43"/>
        <v>0</v>
      </c>
      <c r="B138" s="144">
        <f t="shared" ref="B138:H138" si="62">B86-(B86*$G$6)</f>
        <v>0</v>
      </c>
      <c r="C138" s="144">
        <f t="shared" si="62"/>
        <v>0</v>
      </c>
      <c r="D138" s="144">
        <f t="shared" si="62"/>
        <v>0</v>
      </c>
      <c r="E138" s="144">
        <f t="shared" si="62"/>
        <v>0</v>
      </c>
      <c r="F138" s="144">
        <f t="shared" si="62"/>
        <v>0</v>
      </c>
      <c r="G138" s="144">
        <f t="shared" si="62"/>
        <v>0</v>
      </c>
      <c r="H138" s="144">
        <f t="shared" si="62"/>
        <v>0</v>
      </c>
    </row>
    <row r="139" spans="1:8" ht="15.75" hidden="1" customHeight="1">
      <c r="A139" s="171">
        <f t="shared" si="43"/>
        <v>0</v>
      </c>
      <c r="B139" s="144">
        <f t="shared" ref="B139:H139" si="63">B87-(B87*$G$6)</f>
        <v>0</v>
      </c>
      <c r="C139" s="144">
        <f t="shared" si="63"/>
        <v>0</v>
      </c>
      <c r="D139" s="144">
        <f t="shared" si="63"/>
        <v>0</v>
      </c>
      <c r="E139" s="144">
        <f t="shared" si="63"/>
        <v>0</v>
      </c>
      <c r="F139" s="144">
        <f t="shared" si="63"/>
        <v>0</v>
      </c>
      <c r="G139" s="144">
        <f t="shared" si="63"/>
        <v>0</v>
      </c>
      <c r="H139" s="144">
        <f t="shared" si="63"/>
        <v>0</v>
      </c>
    </row>
    <row r="140" spans="1:8" ht="15.75" hidden="1" customHeight="1">
      <c r="A140" s="171">
        <f t="shared" si="43"/>
        <v>0</v>
      </c>
      <c r="B140" s="144">
        <f t="shared" ref="B140:H140" si="64">B88-(B88*$G$6)</f>
        <v>0</v>
      </c>
      <c r="C140" s="144">
        <f t="shared" si="64"/>
        <v>0</v>
      </c>
      <c r="D140" s="144">
        <f t="shared" si="64"/>
        <v>0</v>
      </c>
      <c r="E140" s="144">
        <f t="shared" si="64"/>
        <v>0</v>
      </c>
      <c r="F140" s="144">
        <f t="shared" si="64"/>
        <v>0</v>
      </c>
      <c r="G140" s="144">
        <f t="shared" si="64"/>
        <v>0</v>
      </c>
      <c r="H140" s="144">
        <f t="shared" si="64"/>
        <v>0</v>
      </c>
    </row>
    <row r="141" spans="1:8" ht="15.75" hidden="1" customHeight="1">
      <c r="A141" s="171">
        <f t="shared" si="43"/>
        <v>0</v>
      </c>
      <c r="B141" s="144">
        <f t="shared" ref="B141:H141" si="65">B89-(B89*$G$6)</f>
        <v>0</v>
      </c>
      <c r="C141" s="144">
        <f t="shared" si="65"/>
        <v>0</v>
      </c>
      <c r="D141" s="144">
        <f t="shared" si="65"/>
        <v>0</v>
      </c>
      <c r="E141" s="144">
        <f t="shared" si="65"/>
        <v>0</v>
      </c>
      <c r="F141" s="144">
        <f t="shared" si="65"/>
        <v>0</v>
      </c>
      <c r="G141" s="144">
        <f t="shared" si="65"/>
        <v>0</v>
      </c>
      <c r="H141" s="144">
        <f t="shared" si="65"/>
        <v>0</v>
      </c>
    </row>
    <row r="142" spans="1:8" ht="15.75" hidden="1" customHeight="1">
      <c r="A142" s="57"/>
      <c r="B142" s="144"/>
      <c r="C142" s="144"/>
      <c r="D142" s="144"/>
      <c r="E142" s="144"/>
      <c r="F142" s="144"/>
      <c r="G142" s="144"/>
      <c r="H142" s="144"/>
    </row>
    <row r="143" spans="1:8" ht="15.75" hidden="1" customHeight="1">
      <c r="A143" s="170" t="str">
        <f t="shared" ref="A143:A168" si="66">A91</f>
        <v>Fruit  &amp; Vegetables Crop Production Details</v>
      </c>
      <c r="B143" s="144"/>
      <c r="C143" s="144"/>
      <c r="D143" s="144"/>
      <c r="E143" s="144"/>
      <c r="F143" s="144"/>
      <c r="G143" s="144"/>
      <c r="H143" s="144"/>
    </row>
    <row r="144" spans="1:8" ht="15.75" hidden="1" customHeight="1">
      <c r="A144" s="171" t="str">
        <f t="shared" si="66"/>
        <v>Onion</v>
      </c>
      <c r="B144" s="144">
        <f t="shared" ref="B144:H144" si="67">B92-(B92*$G$7)</f>
        <v>0</v>
      </c>
      <c r="C144" s="144">
        <f t="shared" si="67"/>
        <v>0</v>
      </c>
      <c r="D144" s="144">
        <f t="shared" si="67"/>
        <v>0</v>
      </c>
      <c r="E144" s="144">
        <f t="shared" si="67"/>
        <v>0</v>
      </c>
      <c r="F144" s="144">
        <f t="shared" si="67"/>
        <v>0</v>
      </c>
      <c r="G144" s="144">
        <f t="shared" si="67"/>
        <v>0</v>
      </c>
      <c r="H144" s="144">
        <f t="shared" si="67"/>
        <v>0</v>
      </c>
    </row>
    <row r="145" spans="1:8" ht="15.75" hidden="1" customHeight="1">
      <c r="A145" s="171" t="str">
        <f t="shared" si="66"/>
        <v>Tomato</v>
      </c>
      <c r="B145" s="144">
        <f t="shared" ref="B145:H145" si="68">B93-(B93*$G$7)</f>
        <v>0</v>
      </c>
      <c r="C145" s="144">
        <f t="shared" si="68"/>
        <v>0</v>
      </c>
      <c r="D145" s="144">
        <f t="shared" si="68"/>
        <v>0</v>
      </c>
      <c r="E145" s="144">
        <f t="shared" si="68"/>
        <v>0</v>
      </c>
      <c r="F145" s="144">
        <f t="shared" si="68"/>
        <v>0</v>
      </c>
      <c r="G145" s="144">
        <f t="shared" si="68"/>
        <v>0</v>
      </c>
      <c r="H145" s="144">
        <f t="shared" si="68"/>
        <v>0</v>
      </c>
    </row>
    <row r="146" spans="1:8" ht="15.75" hidden="1" customHeight="1">
      <c r="A146" s="171" t="str">
        <f t="shared" si="66"/>
        <v>Okra</v>
      </c>
      <c r="B146" s="144">
        <f t="shared" ref="B146:H146" si="69">B94-(B94*$G$7)</f>
        <v>0</v>
      </c>
      <c r="C146" s="144">
        <f t="shared" si="69"/>
        <v>0</v>
      </c>
      <c r="D146" s="144">
        <f t="shared" si="69"/>
        <v>0</v>
      </c>
      <c r="E146" s="144">
        <f t="shared" si="69"/>
        <v>0</v>
      </c>
      <c r="F146" s="144">
        <f t="shared" si="69"/>
        <v>0</v>
      </c>
      <c r="G146" s="144">
        <f t="shared" si="69"/>
        <v>0</v>
      </c>
      <c r="H146" s="144">
        <f t="shared" si="69"/>
        <v>0</v>
      </c>
    </row>
    <row r="147" spans="1:8" ht="15.75" hidden="1" customHeight="1">
      <c r="A147" s="171" t="str">
        <f t="shared" si="66"/>
        <v>Chilli</v>
      </c>
      <c r="B147" s="144">
        <f t="shared" ref="B147:H147" si="70">B95-(B95*$G$7)</f>
        <v>0</v>
      </c>
      <c r="C147" s="144">
        <f t="shared" si="70"/>
        <v>0</v>
      </c>
      <c r="D147" s="144">
        <f t="shared" si="70"/>
        <v>0</v>
      </c>
      <c r="E147" s="144">
        <f t="shared" si="70"/>
        <v>0</v>
      </c>
      <c r="F147" s="144">
        <f t="shared" si="70"/>
        <v>0</v>
      </c>
      <c r="G147" s="144">
        <f t="shared" si="70"/>
        <v>0</v>
      </c>
      <c r="H147" s="144">
        <f t="shared" si="70"/>
        <v>0</v>
      </c>
    </row>
    <row r="148" spans="1:8" ht="15.75" hidden="1" customHeight="1">
      <c r="A148" s="171" t="str">
        <f t="shared" si="66"/>
        <v>Potato</v>
      </c>
      <c r="B148" s="144">
        <f t="shared" ref="B148:H148" si="71">B96-(B96*$G$7)</f>
        <v>0</v>
      </c>
      <c r="C148" s="144">
        <f t="shared" si="71"/>
        <v>0</v>
      </c>
      <c r="D148" s="144">
        <f t="shared" si="71"/>
        <v>0</v>
      </c>
      <c r="E148" s="144">
        <f t="shared" si="71"/>
        <v>0</v>
      </c>
      <c r="F148" s="144">
        <f t="shared" si="71"/>
        <v>0</v>
      </c>
      <c r="G148" s="144">
        <f t="shared" si="71"/>
        <v>0</v>
      </c>
      <c r="H148" s="144">
        <f t="shared" si="71"/>
        <v>0</v>
      </c>
    </row>
    <row r="149" spans="1:8" ht="15.75" hidden="1" customHeight="1">
      <c r="A149" s="171">
        <f t="shared" si="66"/>
        <v>0</v>
      </c>
      <c r="B149" s="144">
        <f t="shared" ref="B149:H149" si="72">B97-(B97*$G$7)</f>
        <v>0</v>
      </c>
      <c r="C149" s="144">
        <f t="shared" si="72"/>
        <v>0</v>
      </c>
      <c r="D149" s="144">
        <f t="shared" si="72"/>
        <v>0</v>
      </c>
      <c r="E149" s="144">
        <f t="shared" si="72"/>
        <v>0</v>
      </c>
      <c r="F149" s="144">
        <f t="shared" si="72"/>
        <v>0</v>
      </c>
      <c r="G149" s="144">
        <f t="shared" si="72"/>
        <v>0</v>
      </c>
      <c r="H149" s="144">
        <f t="shared" si="72"/>
        <v>0</v>
      </c>
    </row>
    <row r="150" spans="1:8" ht="15.75" hidden="1" customHeight="1">
      <c r="A150" s="171">
        <f t="shared" si="66"/>
        <v>0</v>
      </c>
      <c r="B150" s="144">
        <f t="shared" ref="B150:H150" si="73">B98-(B98*$G$7)</f>
        <v>0</v>
      </c>
      <c r="C150" s="144">
        <f t="shared" si="73"/>
        <v>0</v>
      </c>
      <c r="D150" s="144">
        <f t="shared" si="73"/>
        <v>0</v>
      </c>
      <c r="E150" s="144">
        <f t="shared" si="73"/>
        <v>0</v>
      </c>
      <c r="F150" s="144">
        <f t="shared" si="73"/>
        <v>0</v>
      </c>
      <c r="G150" s="144">
        <f t="shared" si="73"/>
        <v>0</v>
      </c>
      <c r="H150" s="144">
        <f t="shared" si="73"/>
        <v>0</v>
      </c>
    </row>
    <row r="151" spans="1:8" ht="15.75" hidden="1" customHeight="1">
      <c r="A151" s="171">
        <f t="shared" si="66"/>
        <v>0</v>
      </c>
      <c r="B151" s="144">
        <f t="shared" ref="B151:H151" si="74">B99-(B99*$G$7)</f>
        <v>0</v>
      </c>
      <c r="C151" s="144">
        <f t="shared" si="74"/>
        <v>0</v>
      </c>
      <c r="D151" s="144">
        <f t="shared" si="74"/>
        <v>0</v>
      </c>
      <c r="E151" s="144">
        <f t="shared" si="74"/>
        <v>0</v>
      </c>
      <c r="F151" s="144">
        <f t="shared" si="74"/>
        <v>0</v>
      </c>
      <c r="G151" s="144">
        <f t="shared" si="74"/>
        <v>0</v>
      </c>
      <c r="H151" s="144">
        <f t="shared" si="74"/>
        <v>0</v>
      </c>
    </row>
    <row r="152" spans="1:8" ht="15.75" hidden="1" customHeight="1">
      <c r="A152" s="171">
        <f t="shared" si="66"/>
        <v>0</v>
      </c>
      <c r="B152" s="144">
        <f t="shared" ref="B152:H152" si="75">B100-(B100*$G$7)</f>
        <v>0</v>
      </c>
      <c r="C152" s="144">
        <f t="shared" si="75"/>
        <v>0</v>
      </c>
      <c r="D152" s="144">
        <f t="shared" si="75"/>
        <v>0</v>
      </c>
      <c r="E152" s="144">
        <f t="shared" si="75"/>
        <v>0</v>
      </c>
      <c r="F152" s="144">
        <f t="shared" si="75"/>
        <v>0</v>
      </c>
      <c r="G152" s="144">
        <f t="shared" si="75"/>
        <v>0</v>
      </c>
      <c r="H152" s="144">
        <f t="shared" si="75"/>
        <v>0</v>
      </c>
    </row>
    <row r="153" spans="1:8" ht="15.75" hidden="1" customHeight="1">
      <c r="A153" s="171" t="str">
        <f t="shared" si="66"/>
        <v>Onion</v>
      </c>
      <c r="B153" s="144">
        <f t="shared" ref="B153:H153" si="76">B101-(B101*$G$7)</f>
        <v>0</v>
      </c>
      <c r="C153" s="144">
        <f t="shared" si="76"/>
        <v>0</v>
      </c>
      <c r="D153" s="144">
        <f t="shared" si="76"/>
        <v>0</v>
      </c>
      <c r="E153" s="144">
        <f t="shared" si="76"/>
        <v>0</v>
      </c>
      <c r="F153" s="144">
        <f t="shared" si="76"/>
        <v>0</v>
      </c>
      <c r="G153" s="144">
        <f t="shared" si="76"/>
        <v>0</v>
      </c>
      <c r="H153" s="144">
        <f t="shared" si="76"/>
        <v>0</v>
      </c>
    </row>
    <row r="154" spans="1:8" ht="15.75" hidden="1" customHeight="1">
      <c r="A154" s="171" t="str">
        <f t="shared" si="66"/>
        <v>Tomato</v>
      </c>
      <c r="B154" s="144">
        <f t="shared" ref="B154:H154" si="77">B102-(B102*$G$7)</f>
        <v>0</v>
      </c>
      <c r="C154" s="144">
        <f t="shared" si="77"/>
        <v>0</v>
      </c>
      <c r="D154" s="144">
        <f t="shared" si="77"/>
        <v>0</v>
      </c>
      <c r="E154" s="144">
        <f t="shared" si="77"/>
        <v>0</v>
      </c>
      <c r="F154" s="144">
        <f t="shared" si="77"/>
        <v>0</v>
      </c>
      <c r="G154" s="144">
        <f t="shared" si="77"/>
        <v>0</v>
      </c>
      <c r="H154" s="144">
        <f t="shared" si="77"/>
        <v>0</v>
      </c>
    </row>
    <row r="155" spans="1:8" ht="15.75" hidden="1" customHeight="1">
      <c r="A155" s="171" t="str">
        <f t="shared" si="66"/>
        <v>Okra</v>
      </c>
      <c r="B155" s="144">
        <f t="shared" ref="B155:H155" si="78">B103-(B103*$G$7)</f>
        <v>0</v>
      </c>
      <c r="C155" s="144">
        <f t="shared" si="78"/>
        <v>0</v>
      </c>
      <c r="D155" s="144">
        <f t="shared" si="78"/>
        <v>0</v>
      </c>
      <c r="E155" s="144">
        <f t="shared" si="78"/>
        <v>0</v>
      </c>
      <c r="F155" s="144">
        <f t="shared" si="78"/>
        <v>0</v>
      </c>
      <c r="G155" s="144">
        <f t="shared" si="78"/>
        <v>0</v>
      </c>
      <c r="H155" s="144">
        <f t="shared" si="78"/>
        <v>0</v>
      </c>
    </row>
    <row r="156" spans="1:8" ht="15.75" hidden="1" customHeight="1">
      <c r="A156" s="171" t="str">
        <f t="shared" si="66"/>
        <v>Chilli</v>
      </c>
      <c r="B156" s="144">
        <f t="shared" ref="B156:H156" si="79">B104-(B104*$G$7)</f>
        <v>0</v>
      </c>
      <c r="C156" s="144">
        <f t="shared" si="79"/>
        <v>0</v>
      </c>
      <c r="D156" s="144">
        <f t="shared" si="79"/>
        <v>0</v>
      </c>
      <c r="E156" s="144">
        <f t="shared" si="79"/>
        <v>0</v>
      </c>
      <c r="F156" s="144">
        <f t="shared" si="79"/>
        <v>0</v>
      </c>
      <c r="G156" s="144">
        <f t="shared" si="79"/>
        <v>0</v>
      </c>
      <c r="H156" s="144">
        <f t="shared" si="79"/>
        <v>0</v>
      </c>
    </row>
    <row r="157" spans="1:8" ht="15.75" hidden="1" customHeight="1">
      <c r="A157" s="171" t="str">
        <f t="shared" si="66"/>
        <v>Brinjal</v>
      </c>
      <c r="B157" s="144">
        <f t="shared" ref="B157:H157" si="80">B105-(B105*$G$7)</f>
        <v>0</v>
      </c>
      <c r="C157" s="144">
        <f t="shared" si="80"/>
        <v>0</v>
      </c>
      <c r="D157" s="144">
        <f t="shared" si="80"/>
        <v>0</v>
      </c>
      <c r="E157" s="144">
        <f t="shared" si="80"/>
        <v>0</v>
      </c>
      <c r="F157" s="144">
        <f t="shared" si="80"/>
        <v>0</v>
      </c>
      <c r="G157" s="144">
        <f t="shared" si="80"/>
        <v>0</v>
      </c>
      <c r="H157" s="144">
        <f t="shared" si="80"/>
        <v>0</v>
      </c>
    </row>
    <row r="158" spans="1:8" ht="15.75" hidden="1" customHeight="1">
      <c r="A158" s="171">
        <f t="shared" si="66"/>
        <v>0</v>
      </c>
      <c r="B158" s="144">
        <f t="shared" ref="B158:H158" si="81">B106-(B106*$G$7)</f>
        <v>0</v>
      </c>
      <c r="C158" s="144">
        <f t="shared" si="81"/>
        <v>0</v>
      </c>
      <c r="D158" s="144">
        <f t="shared" si="81"/>
        <v>0</v>
      </c>
      <c r="E158" s="144">
        <f t="shared" si="81"/>
        <v>0</v>
      </c>
      <c r="F158" s="144">
        <f t="shared" si="81"/>
        <v>0</v>
      </c>
      <c r="G158" s="144">
        <f t="shared" si="81"/>
        <v>0</v>
      </c>
      <c r="H158" s="144">
        <f t="shared" si="81"/>
        <v>0</v>
      </c>
    </row>
    <row r="159" spans="1:8" ht="15.75" hidden="1" customHeight="1">
      <c r="A159" s="171">
        <f t="shared" si="66"/>
        <v>0</v>
      </c>
      <c r="B159" s="144">
        <f t="shared" ref="B159:H159" si="82">B107-(B107*$G$7)</f>
        <v>0</v>
      </c>
      <c r="C159" s="144">
        <f t="shared" si="82"/>
        <v>0</v>
      </c>
      <c r="D159" s="144">
        <f t="shared" si="82"/>
        <v>0</v>
      </c>
      <c r="E159" s="144">
        <f t="shared" si="82"/>
        <v>0</v>
      </c>
      <c r="F159" s="144">
        <f t="shared" si="82"/>
        <v>0</v>
      </c>
      <c r="G159" s="144">
        <f t="shared" si="82"/>
        <v>0</v>
      </c>
      <c r="H159" s="144">
        <f t="shared" si="82"/>
        <v>0</v>
      </c>
    </row>
    <row r="160" spans="1:8" ht="15.75" hidden="1" customHeight="1">
      <c r="A160" s="171">
        <f t="shared" si="66"/>
        <v>0</v>
      </c>
      <c r="B160" s="144">
        <f t="shared" ref="B160:H160" si="83">B108-(B108*$G$7)</f>
        <v>0</v>
      </c>
      <c r="C160" s="144">
        <f t="shared" si="83"/>
        <v>0</v>
      </c>
      <c r="D160" s="144">
        <f t="shared" si="83"/>
        <v>0</v>
      </c>
      <c r="E160" s="144">
        <f t="shared" si="83"/>
        <v>0</v>
      </c>
      <c r="F160" s="144">
        <f t="shared" si="83"/>
        <v>0</v>
      </c>
      <c r="G160" s="144">
        <f t="shared" si="83"/>
        <v>0</v>
      </c>
      <c r="H160" s="144">
        <f t="shared" si="83"/>
        <v>0</v>
      </c>
    </row>
    <row r="161" spans="1:20" ht="15.75" hidden="1" customHeight="1">
      <c r="A161" s="171">
        <f t="shared" si="66"/>
        <v>0</v>
      </c>
      <c r="B161" s="144">
        <f t="shared" ref="B161:H161" si="84">B109-(B109*$G$7)</f>
        <v>0</v>
      </c>
      <c r="C161" s="144">
        <f t="shared" si="84"/>
        <v>0</v>
      </c>
      <c r="D161" s="144">
        <f t="shared" si="84"/>
        <v>0</v>
      </c>
      <c r="E161" s="144">
        <f t="shared" si="84"/>
        <v>0</v>
      </c>
      <c r="F161" s="144">
        <f t="shared" si="84"/>
        <v>0</v>
      </c>
      <c r="G161" s="144">
        <f t="shared" si="84"/>
        <v>0</v>
      </c>
      <c r="H161" s="144">
        <f t="shared" si="84"/>
        <v>0</v>
      </c>
    </row>
    <row r="162" spans="1:20" ht="15.75" hidden="1" customHeight="1">
      <c r="A162" s="171">
        <f t="shared" si="66"/>
        <v>0</v>
      </c>
      <c r="B162" s="144">
        <f t="shared" ref="B162:H162" si="85">B110-(B110*$G$7)</f>
        <v>0</v>
      </c>
      <c r="C162" s="144">
        <f t="shared" si="85"/>
        <v>0</v>
      </c>
      <c r="D162" s="144">
        <f t="shared" si="85"/>
        <v>0</v>
      </c>
      <c r="E162" s="144">
        <f t="shared" si="85"/>
        <v>0</v>
      </c>
      <c r="F162" s="144">
        <f t="shared" si="85"/>
        <v>0</v>
      </c>
      <c r="G162" s="144">
        <f t="shared" si="85"/>
        <v>0</v>
      </c>
      <c r="H162" s="144">
        <f t="shared" si="85"/>
        <v>0</v>
      </c>
    </row>
    <row r="163" spans="1:20" ht="15.75" hidden="1" customHeight="1">
      <c r="A163" s="171">
        <f t="shared" si="66"/>
        <v>0</v>
      </c>
      <c r="B163" s="144">
        <f t="shared" ref="B163:H163" si="86">B111-(B111*$G$7)</f>
        <v>0</v>
      </c>
      <c r="C163" s="144">
        <f t="shared" si="86"/>
        <v>0</v>
      </c>
      <c r="D163" s="144">
        <f t="shared" si="86"/>
        <v>0</v>
      </c>
      <c r="E163" s="144">
        <f t="shared" si="86"/>
        <v>0</v>
      </c>
      <c r="F163" s="144">
        <f t="shared" si="86"/>
        <v>0</v>
      </c>
      <c r="G163" s="144">
        <f t="shared" si="86"/>
        <v>0</v>
      </c>
      <c r="H163" s="144">
        <f t="shared" si="86"/>
        <v>0</v>
      </c>
    </row>
    <row r="164" spans="1:20" ht="15.75" hidden="1" customHeight="1">
      <c r="A164" s="171">
        <f t="shared" si="66"/>
        <v>0</v>
      </c>
      <c r="B164" s="144">
        <f t="shared" ref="B164:H164" si="87">B112-(B112*$G$7)</f>
        <v>0</v>
      </c>
      <c r="C164" s="144">
        <f t="shared" si="87"/>
        <v>0</v>
      </c>
      <c r="D164" s="144">
        <f t="shared" si="87"/>
        <v>0</v>
      </c>
      <c r="E164" s="144">
        <f t="shared" si="87"/>
        <v>0</v>
      </c>
      <c r="F164" s="144">
        <f t="shared" si="87"/>
        <v>0</v>
      </c>
      <c r="G164" s="144">
        <f t="shared" si="87"/>
        <v>0</v>
      </c>
      <c r="H164" s="144">
        <f t="shared" si="87"/>
        <v>0</v>
      </c>
    </row>
    <row r="165" spans="1:20" ht="15.75" hidden="1" customHeight="1">
      <c r="A165" s="171" t="str">
        <f t="shared" si="66"/>
        <v>Pomegranate</v>
      </c>
      <c r="B165" s="144">
        <f t="shared" ref="B165:H165" si="88">B113-(B113*$G$7)</f>
        <v>0</v>
      </c>
      <c r="C165" s="144">
        <f t="shared" si="88"/>
        <v>0</v>
      </c>
      <c r="D165" s="144">
        <f t="shared" si="88"/>
        <v>0</v>
      </c>
      <c r="E165" s="144">
        <f t="shared" si="88"/>
        <v>0</v>
      </c>
      <c r="F165" s="144">
        <f t="shared" si="88"/>
        <v>0</v>
      </c>
      <c r="G165" s="144">
        <f t="shared" si="88"/>
        <v>0</v>
      </c>
      <c r="H165" s="144">
        <f t="shared" si="88"/>
        <v>0</v>
      </c>
    </row>
    <row r="166" spans="1:20" ht="15.75" hidden="1" customHeight="1">
      <c r="A166" s="171" t="str">
        <f t="shared" si="66"/>
        <v>Custard Apple</v>
      </c>
      <c r="B166" s="144">
        <f t="shared" ref="B166:H166" si="89">B114-(B114*$G$7)</f>
        <v>0</v>
      </c>
      <c r="C166" s="144">
        <f t="shared" si="89"/>
        <v>0</v>
      </c>
      <c r="D166" s="144">
        <f t="shared" si="89"/>
        <v>0</v>
      </c>
      <c r="E166" s="144">
        <f t="shared" si="89"/>
        <v>0</v>
      </c>
      <c r="F166" s="144">
        <f t="shared" si="89"/>
        <v>0</v>
      </c>
      <c r="G166" s="144">
        <f t="shared" si="89"/>
        <v>0</v>
      </c>
      <c r="H166" s="144">
        <f t="shared" si="89"/>
        <v>0</v>
      </c>
    </row>
    <row r="167" spans="1:20" ht="15.75" hidden="1" customHeight="1">
      <c r="A167" s="171" t="str">
        <f t="shared" si="66"/>
        <v>Guava</v>
      </c>
      <c r="B167" s="144">
        <f t="shared" ref="B167:H167" si="90">B115-(B115*$G$7)</f>
        <v>0</v>
      </c>
      <c r="C167" s="144">
        <f t="shared" si="90"/>
        <v>0</v>
      </c>
      <c r="D167" s="144">
        <f t="shared" si="90"/>
        <v>0</v>
      </c>
      <c r="E167" s="144">
        <f t="shared" si="90"/>
        <v>0</v>
      </c>
      <c r="F167" s="144">
        <f t="shared" si="90"/>
        <v>0</v>
      </c>
      <c r="G167" s="144">
        <f t="shared" si="90"/>
        <v>0</v>
      </c>
      <c r="H167" s="144">
        <f t="shared" si="90"/>
        <v>0</v>
      </c>
    </row>
    <row r="168" spans="1:20" ht="15.75" hidden="1" customHeight="1">
      <c r="A168" s="171" t="str">
        <f t="shared" si="66"/>
        <v>Citrus</v>
      </c>
      <c r="B168" s="144">
        <f t="shared" ref="B168:H168" si="91">B116-(B116*$G$7)</f>
        <v>0</v>
      </c>
      <c r="C168" s="144">
        <f t="shared" si="91"/>
        <v>0</v>
      </c>
      <c r="D168" s="144">
        <f t="shared" si="91"/>
        <v>0</v>
      </c>
      <c r="E168" s="144">
        <f t="shared" si="91"/>
        <v>0</v>
      </c>
      <c r="F168" s="144">
        <f t="shared" si="91"/>
        <v>0</v>
      </c>
      <c r="G168" s="144">
        <f t="shared" si="91"/>
        <v>0</v>
      </c>
      <c r="H168" s="144">
        <f t="shared" si="91"/>
        <v>0</v>
      </c>
    </row>
    <row r="169" spans="1:20" ht="15.75" customHeight="1">
      <c r="A169" s="52"/>
    </row>
    <row r="170" spans="1:20" ht="15.75" customHeight="1">
      <c r="A170" s="267" t="s">
        <v>578</v>
      </c>
      <c r="B170" s="251"/>
      <c r="C170" s="251"/>
      <c r="D170" s="251"/>
      <c r="E170" s="251"/>
      <c r="F170" s="251"/>
      <c r="G170" s="251"/>
      <c r="H170" s="251"/>
      <c r="I170" s="251"/>
      <c r="J170" s="251"/>
    </row>
    <row r="171" spans="1:20" ht="15.75" customHeight="1">
      <c r="A171" s="24"/>
      <c r="B171" s="24"/>
      <c r="C171" s="24"/>
      <c r="D171" s="24"/>
      <c r="E171" s="24"/>
      <c r="F171" s="24"/>
      <c r="G171" s="24"/>
      <c r="H171" s="24"/>
    </row>
    <row r="172" spans="1:20" ht="15.75" hidden="1" customHeight="1">
      <c r="A172" s="74"/>
      <c r="B172" s="74"/>
      <c r="C172" s="74"/>
      <c r="D172" s="172">
        <v>1</v>
      </c>
      <c r="E172" s="200">
        <f>+D172*1.02</f>
        <v>1.02</v>
      </c>
      <c r="F172" s="200">
        <f t="shared" ref="F172:J172" si="92">+E172+2%</f>
        <v>1.04</v>
      </c>
      <c r="G172" s="200">
        <f t="shared" si="92"/>
        <v>1.06</v>
      </c>
      <c r="H172" s="200">
        <f t="shared" si="92"/>
        <v>1.08</v>
      </c>
      <c r="I172" s="200">
        <f t="shared" si="92"/>
        <v>1.1000000000000001</v>
      </c>
      <c r="J172" s="200">
        <f t="shared" si="92"/>
        <v>1.1200000000000001</v>
      </c>
      <c r="K172" s="52"/>
      <c r="L172" s="52"/>
      <c r="M172" s="52"/>
      <c r="N172" s="52"/>
      <c r="O172" s="52"/>
      <c r="P172" s="52"/>
      <c r="Q172" s="52"/>
      <c r="R172" s="52"/>
      <c r="S172" s="52"/>
      <c r="T172" s="52"/>
    </row>
    <row r="173" spans="1:20" ht="15.75" hidden="1" customHeight="1">
      <c r="A173" s="52"/>
      <c r="B173" s="52"/>
      <c r="C173" s="52"/>
      <c r="D173" s="54">
        <v>1</v>
      </c>
      <c r="E173" s="201">
        <f>+E172+0.0025</f>
        <v>1.0225</v>
      </c>
      <c r="F173" s="201">
        <f t="shared" ref="F173:J173" si="93">+F172+0.0025</f>
        <v>1.0425</v>
      </c>
      <c r="G173" s="201">
        <f t="shared" si="93"/>
        <v>1.0625</v>
      </c>
      <c r="H173" s="201">
        <f t="shared" si="93"/>
        <v>1.0825</v>
      </c>
      <c r="I173" s="201">
        <f t="shared" si="93"/>
        <v>1.1025</v>
      </c>
      <c r="J173" s="201">
        <f t="shared" si="93"/>
        <v>1.1225000000000001</v>
      </c>
      <c r="K173" s="52"/>
      <c r="L173" s="52"/>
      <c r="M173" s="52"/>
      <c r="N173" s="52"/>
      <c r="O173" s="52"/>
      <c r="P173" s="52"/>
      <c r="Q173" s="52"/>
      <c r="R173" s="52"/>
      <c r="S173" s="52"/>
      <c r="T173" s="52"/>
    </row>
    <row r="174" spans="1:20" ht="15.75" customHeight="1">
      <c r="A174" s="52"/>
      <c r="B174" s="52"/>
      <c r="C174" s="52"/>
      <c r="D174" s="53"/>
      <c r="E174" s="54"/>
      <c r="F174" s="54"/>
      <c r="G174" s="54"/>
      <c r="H174" s="54"/>
      <c r="I174" s="54"/>
      <c r="J174" s="54"/>
      <c r="K174" s="52"/>
      <c r="L174" s="52"/>
    </row>
    <row r="175" spans="1:20" ht="15.75" customHeight="1">
      <c r="A175" s="105" t="s">
        <v>150</v>
      </c>
      <c r="B175" s="105"/>
      <c r="C175" s="105" t="s">
        <v>132</v>
      </c>
      <c r="D175" s="106" t="s">
        <v>153</v>
      </c>
      <c r="E175" s="106" t="s">
        <v>154</v>
      </c>
      <c r="F175" s="106" t="s">
        <v>155</v>
      </c>
      <c r="G175" s="106" t="s">
        <v>156</v>
      </c>
      <c r="H175" s="106" t="s">
        <v>157</v>
      </c>
      <c r="I175" s="106" t="s">
        <v>158</v>
      </c>
      <c r="J175" s="106" t="s">
        <v>159</v>
      </c>
      <c r="K175" s="52"/>
      <c r="L175" s="52"/>
    </row>
    <row r="176" spans="1:20" ht="15.75" customHeight="1">
      <c r="A176" s="60"/>
      <c r="B176" s="60"/>
      <c r="C176" s="60"/>
      <c r="D176" s="57"/>
      <c r="E176" s="57"/>
      <c r="F176" s="57"/>
      <c r="G176" s="57"/>
      <c r="H176" s="57"/>
      <c r="I176" s="57"/>
      <c r="J176" s="57"/>
      <c r="K176" s="52"/>
      <c r="L176" s="52"/>
    </row>
    <row r="177" spans="1:12" ht="15.75" customHeight="1">
      <c r="A177" s="60" t="s">
        <v>347</v>
      </c>
      <c r="B177" s="60"/>
      <c r="C177" s="60"/>
      <c r="D177" s="57"/>
      <c r="E177" s="57"/>
      <c r="F177" s="57"/>
      <c r="G177" s="57"/>
      <c r="H177" s="57"/>
      <c r="I177" s="57"/>
      <c r="J177" s="57"/>
      <c r="K177" s="52"/>
      <c r="L177" s="52"/>
    </row>
    <row r="178" spans="1:12" ht="15.75" customHeight="1">
      <c r="A178" s="171" t="str">
        <f t="shared" ref="A178:A198" si="94">A120</f>
        <v>Soybean</v>
      </c>
      <c r="B178" s="57" t="s">
        <v>579</v>
      </c>
      <c r="C178" s="59">
        <f>7000-135</f>
        <v>6865</v>
      </c>
      <c r="D178" s="171">
        <f>(B120*(1-'5.Closing Stock &amp; W Capital'!$D$15))*C$178*D172</f>
        <v>94332252.128625005</v>
      </c>
      <c r="E178" s="171">
        <f>((C120*(1-'5.Closing Stock &amp; W Capital'!$D$15))+(B120*'5.Closing Stock &amp; W Capital'!$D$15))*$C178*E$172</f>
        <v>107804437.85099475</v>
      </c>
      <c r="F178" s="171">
        <f>((D120*(1-'5.Closing Stock &amp; W Capital'!$D$15))+(C120*'5.Closing Stock &amp; W Capital'!$D$15))*$C178*F$172</f>
        <v>119929019.97152701</v>
      </c>
      <c r="G178" s="171">
        <f>((E120*(1-'5.Closing Stock &amp; W Capital'!$D$15))+(D120*'5.Closing Stock &amp; W Capital'!$D$15))*$C178*G$172</f>
        <v>132438631.69258429</v>
      </c>
      <c r="H178" s="171">
        <f>((F120*(1-'5.Closing Stock &amp; W Capital'!$D$15))+(E120*'5.Closing Stock &amp; W Capital'!$D$15))*$C178*H$172</f>
        <v>145333273.01416653</v>
      </c>
      <c r="I178" s="171">
        <f>((G120*(1-'5.Closing Stock &amp; W Capital'!$D$15))+(F120*'5.Closing Stock &amp; W Capital'!$D$15))*$C178*I$172</f>
        <v>158612943.93627381</v>
      </c>
      <c r="J178" s="171">
        <f>((H120*(1-'5.Closing Stock &amp; W Capital'!$D$15))+(G120*'5.Closing Stock &amp; W Capital'!$D$15))*$C178*J$172</f>
        <v>172277644.45890608</v>
      </c>
      <c r="K178" s="175">
        <f>+D178/C178</f>
        <v>13741.041825</v>
      </c>
      <c r="L178" s="52">
        <f>+C178*13741</f>
        <v>94331965</v>
      </c>
    </row>
    <row r="179" spans="1:12" ht="15.75" customHeight="1">
      <c r="A179" s="171" t="str">
        <f t="shared" si="94"/>
        <v>Red Gram/Tur</v>
      </c>
      <c r="B179" s="57" t="s">
        <v>579</v>
      </c>
      <c r="C179" s="59">
        <v>6800</v>
      </c>
      <c r="D179" s="171">
        <f>(B121*(1-'5.Closing Stock &amp; W Capital'!$D$15))*$C179*D$172</f>
        <v>23671234.717200004</v>
      </c>
      <c r="E179" s="171">
        <f>((C121*(1-'5.Closing Stock &amp; W Capital'!$D$15))+(B121*'5.Closing Stock &amp; W Capital'!$D$15))*$C179*E$172</f>
        <v>27051873.503954399</v>
      </c>
      <c r="F179" s="171">
        <f>((D121*(1-'5.Closing Stock &amp; W Capital'!$D$15))+(C121*'5.Closing Stock &amp; W Capital'!$D$15))*$C179*F$172</f>
        <v>30094351.794748805</v>
      </c>
      <c r="G179" s="171">
        <f>((E121*(1-'5.Closing Stock &amp; W Capital'!$D$15))+(D121*'5.Closing Stock &amp; W Capital'!$D$15))*$C179*G$172</f>
        <v>33233447.370103192</v>
      </c>
      <c r="H179" s="171">
        <f>((F121*(1-'5.Closing Stock &amp; W Capital'!$D$15))+(E121*'5.Closing Stock &amp; W Capital'!$D$15))*$C179*H$172</f>
        <v>36469160.230017617</v>
      </c>
      <c r="I179" s="171">
        <f>((G121*(1-'5.Closing Stock &amp; W Capital'!$D$15))+(F121*'5.Closing Stock &amp; W Capital'!$D$15))*$C179*I$172</f>
        <v>39801490.374492027</v>
      </c>
      <c r="J179" s="171">
        <f>((H121*(1-'5.Closing Stock &amp; W Capital'!$D$15))+(G121*'5.Closing Stock &amp; W Capital'!$D$15))*$C179*J$172</f>
        <v>43230437.803526416</v>
      </c>
      <c r="K179" s="175">
        <f t="shared" ref="K179:K200" si="95">+D179/C179</f>
        <v>3481.0639290000004</v>
      </c>
      <c r="L179" s="52">
        <f>+C179*3481</f>
        <v>23670800</v>
      </c>
    </row>
    <row r="180" spans="1:12" ht="15.75" hidden="1" customHeight="1">
      <c r="A180" s="171" t="str">
        <f t="shared" si="94"/>
        <v>Paddy/Rice</v>
      </c>
      <c r="B180" s="57" t="s">
        <v>579</v>
      </c>
      <c r="C180" s="59"/>
      <c r="D180" s="171">
        <f>(B122*(1-'5.Closing Stock &amp; W Capital'!$D$15))*$C180*D$172</f>
        <v>0</v>
      </c>
      <c r="E180" s="171">
        <f>((C122*(1-'5.Closing Stock &amp; W Capital'!$D$15))+(B122*'5.Closing Stock &amp; W Capital'!$D$15))*$C180*E$172</f>
        <v>0</v>
      </c>
      <c r="F180" s="171">
        <f>((D122*(1-'5.Closing Stock &amp; W Capital'!$D$15))+(C122*'5.Closing Stock &amp; W Capital'!$D$15))*$C180*F$172</f>
        <v>0</v>
      </c>
      <c r="G180" s="171">
        <f>((E122*(1-'5.Closing Stock &amp; W Capital'!$D$15))+(D122*'5.Closing Stock &amp; W Capital'!$D$15))*$C180*G$172</f>
        <v>0</v>
      </c>
      <c r="H180" s="171">
        <f>((F122*(1-'5.Closing Stock &amp; W Capital'!$D$15))+(E122*'5.Closing Stock &amp; W Capital'!$D$15))*$C180*H$172</f>
        <v>0</v>
      </c>
      <c r="I180" s="171">
        <f>((G122*(1-'5.Closing Stock &amp; W Capital'!$D$15))+(F122*'5.Closing Stock &amp; W Capital'!$D$15))*$C180*I$172</f>
        <v>0</v>
      </c>
      <c r="J180" s="171">
        <f>((H122*(1-'5.Closing Stock &amp; W Capital'!$D$15))+(G122*'5.Closing Stock &amp; W Capital'!$D$15))*$C180*J$172</f>
        <v>0</v>
      </c>
      <c r="K180" s="175"/>
      <c r="L180" s="52"/>
    </row>
    <row r="181" spans="1:12" ht="15.75" customHeight="1">
      <c r="A181" s="171" t="str">
        <f t="shared" si="94"/>
        <v>Green Gram/ Moong</v>
      </c>
      <c r="B181" s="57" t="s">
        <v>579</v>
      </c>
      <c r="C181" s="59">
        <v>6800</v>
      </c>
      <c r="D181" s="171">
        <f>(B123*(1-'5.Closing Stock &amp; W Capital'!$D$15))*$C181*D$172</f>
        <v>15261717.120300001</v>
      </c>
      <c r="E181" s="171">
        <f>((C123*(1-'5.Closing Stock &amp; W Capital'!$D$15))+(B123*'5.Closing Stock &amp; W Capital'!$D$15))*$C181*E$172</f>
        <v>17441339.495970596</v>
      </c>
      <c r="F181" s="171">
        <f>((D123*(1-'5.Closing Stock &amp; W Capital'!$D$15))+(C123*'5.Closing Stock &amp; W Capital'!$D$15))*$C181*F$172</f>
        <v>19402937.341351204</v>
      </c>
      <c r="G181" s="171">
        <f>((E123*(1-'5.Closing Stock &amp; W Capital'!$D$15))+(D123*'5.Closing Stock &amp; W Capital'!$D$15))*$C181*G$172</f>
        <v>21426827.909671802</v>
      </c>
      <c r="H181" s="171">
        <f>((F123*(1-'5.Closing Stock &amp; W Capital'!$D$15))+(E123*'5.Closing Stock &amp; W Capital'!$D$15))*$C181*H$172</f>
        <v>23513011.200932406</v>
      </c>
      <c r="I181" s="171">
        <f>((G123*(1-'5.Closing Stock &amp; W Capital'!$D$15))+(F123*'5.Closing Stock &amp; W Capital'!$D$15))*$C181*I$172</f>
        <v>25661487.215133004</v>
      </c>
      <c r="J181" s="171">
        <f>((H123*(1-'5.Closing Stock &amp; W Capital'!$D$15))+(G123*'5.Closing Stock &amp; W Capital'!$D$15))*$C181*J$172</f>
        <v>27872255.952273607</v>
      </c>
      <c r="K181" s="175">
        <f t="shared" si="95"/>
        <v>2244.3701647500002</v>
      </c>
      <c r="L181" s="52">
        <f>+C181*2244</f>
        <v>15259200</v>
      </c>
    </row>
    <row r="182" spans="1:12" ht="15.75" hidden="1" customHeight="1">
      <c r="A182" s="171" t="str">
        <f t="shared" si="94"/>
        <v>Maize</v>
      </c>
      <c r="B182" s="57" t="s">
        <v>579</v>
      </c>
      <c r="C182" s="59"/>
      <c r="D182" s="171">
        <f>(B124*(1-'5.Closing Stock &amp; W Capital'!$D$15))*$C182*D$172</f>
        <v>0</v>
      </c>
      <c r="E182" s="171">
        <f>((C124*(1-'5.Closing Stock &amp; W Capital'!$D$15))+(B124*'5.Closing Stock &amp; W Capital'!$D$15))*$C182*E$172</f>
        <v>0</v>
      </c>
      <c r="F182" s="171">
        <f>((D124*(1-'5.Closing Stock &amp; W Capital'!$D$15))+(C124*'5.Closing Stock &amp; W Capital'!$D$15))*$C182*F$172</f>
        <v>0</v>
      </c>
      <c r="G182" s="171">
        <f>((E124*(1-'5.Closing Stock &amp; W Capital'!$D$15))+(D124*'5.Closing Stock &amp; W Capital'!$D$15))*$C182*G$172</f>
        <v>0</v>
      </c>
      <c r="H182" s="171">
        <f>((F124*(1-'5.Closing Stock &amp; W Capital'!$D$15))+(E124*'5.Closing Stock &amp; W Capital'!$D$15))*$C182*H$172</f>
        <v>0</v>
      </c>
      <c r="I182" s="171">
        <f>((G124*(1-'5.Closing Stock &amp; W Capital'!$D$15))+(F124*'5.Closing Stock &amp; W Capital'!$D$15))*$C182*I$172</f>
        <v>0</v>
      </c>
      <c r="J182" s="171">
        <f>((H124*(1-'5.Closing Stock &amp; W Capital'!$D$15))+(G124*'5.Closing Stock &amp; W Capital'!$D$15))*$C182*J$172</f>
        <v>0</v>
      </c>
      <c r="K182" s="175"/>
      <c r="L182" s="52"/>
    </row>
    <row r="183" spans="1:12" ht="15.75" customHeight="1">
      <c r="A183" s="171" t="str">
        <f t="shared" si="94"/>
        <v>Black Gram/Udid</v>
      </c>
      <c r="B183" s="57" t="s">
        <v>579</v>
      </c>
      <c r="C183" s="59">
        <v>7300</v>
      </c>
      <c r="D183" s="171">
        <f>(B125*(1-'5.Closing Stock &amp; W Capital'!$D$15))*$C183*D$172</f>
        <v>10030960.532249998</v>
      </c>
      <c r="E183" s="171">
        <f>((C125*(1-'5.Closing Stock &amp; W Capital'!$D$15))+(B125*'5.Closing Stock &amp; W Capital'!$D$15))*$C183*E$172</f>
        <v>11463545.467039501</v>
      </c>
      <c r="F183" s="171">
        <f>((D125*(1-'5.Closing Stock &amp; W Capital'!$D$15))+(C125*'5.Closing Stock &amp; W Capital'!$D$15))*$C183*F$172</f>
        <v>12752830.965654003</v>
      </c>
      <c r="G183" s="171">
        <f>((E125*(1-'5.Closing Stock &amp; W Capital'!$D$15))+(D125*'5.Closing Stock &amp; W Capital'!$D$15))*$C183*G$172</f>
        <v>14083059.160318501</v>
      </c>
      <c r="H183" s="171">
        <f>((F125*(1-'5.Closing Stock &amp; W Capital'!$D$15))+(E125*'5.Closing Stock &amp; W Capital'!$D$15))*$C183*H$172</f>
        <v>15454230.051033003</v>
      </c>
      <c r="I183" s="171">
        <f>((G125*(1-'5.Closing Stock &amp; W Capital'!$D$15))+(F125*'5.Closing Stock &amp; W Capital'!$D$15))*$C183*I$172</f>
        <v>16866343.637797505</v>
      </c>
      <c r="J183" s="171">
        <f>((H125*(1-'5.Closing Stock &amp; W Capital'!$D$15))+(G125*'5.Closing Stock &amp; W Capital'!$D$15))*$C183*J$172</f>
        <v>18319399.920612007</v>
      </c>
      <c r="K183" s="175">
        <f t="shared" si="95"/>
        <v>1374.1041824999998</v>
      </c>
      <c r="L183" s="52">
        <f>+C183*1374</f>
        <v>10030200</v>
      </c>
    </row>
    <row r="184" spans="1:12" ht="15.75" hidden="1" customHeight="1">
      <c r="A184" s="171" t="str">
        <f t="shared" si="94"/>
        <v>Bajra</v>
      </c>
      <c r="B184" s="57" t="s">
        <v>579</v>
      </c>
      <c r="C184" s="59">
        <v>2000</v>
      </c>
      <c r="D184" s="171">
        <f>(B126*(1-'5.Closing Stock &amp; W Capital'!$D$15))*$C184*D$172</f>
        <v>0</v>
      </c>
      <c r="E184" s="171">
        <f>((C126*(1-'5.Closing Stock &amp; W Capital'!$D$15))+(B126*'5.Closing Stock &amp; W Capital'!$D$15))*$C184*E$172</f>
        <v>0</v>
      </c>
      <c r="F184" s="171">
        <f>((D126*(1-'5.Closing Stock &amp; W Capital'!$D$15))+(C126*'5.Closing Stock &amp; W Capital'!$D$15))*$C184*F$172</f>
        <v>0</v>
      </c>
      <c r="G184" s="171">
        <f>((E126*(1-'5.Closing Stock &amp; W Capital'!$D$15))+(D126*'5.Closing Stock &amp; W Capital'!$D$15))*$C184*G$172</f>
        <v>0</v>
      </c>
      <c r="H184" s="171">
        <f>((F126*(1-'5.Closing Stock &amp; W Capital'!$D$15))+(E126*'5.Closing Stock &amp; W Capital'!$D$15))*$C184*H$172</f>
        <v>0</v>
      </c>
      <c r="I184" s="171">
        <f>((G126*(1-'5.Closing Stock &amp; W Capital'!$D$15))+(F126*'5.Closing Stock &amp; W Capital'!$D$15))*$C184*I$172</f>
        <v>0</v>
      </c>
      <c r="J184" s="171">
        <f>((H126*(1-'5.Closing Stock &amp; W Capital'!$D$15))+(G126*'5.Closing Stock &amp; W Capital'!$D$15))*$C184*J$172</f>
        <v>0</v>
      </c>
      <c r="K184" s="175">
        <f t="shared" si="95"/>
        <v>0</v>
      </c>
      <c r="L184" s="52"/>
    </row>
    <row r="185" spans="1:12" ht="15.75" hidden="1" customHeight="1">
      <c r="A185" s="171" t="str">
        <f t="shared" si="94"/>
        <v>Jawar</v>
      </c>
      <c r="B185" s="57" t="s">
        <v>579</v>
      </c>
      <c r="C185" s="59"/>
      <c r="D185" s="171">
        <f>(B127*(1-'5.Closing Stock &amp; W Capital'!$D$15))*$C185*D$172</f>
        <v>0</v>
      </c>
      <c r="E185" s="171">
        <f>((C127*(1-'5.Closing Stock &amp; W Capital'!$D$15))+(B127*'5.Closing Stock &amp; W Capital'!$D$15))*$C185*E$172</f>
        <v>0</v>
      </c>
      <c r="F185" s="171">
        <f>((D127*(1-'5.Closing Stock &amp; W Capital'!$D$15))+(C127*'5.Closing Stock &amp; W Capital'!$D$15))*$C185*F$172</f>
        <v>0</v>
      </c>
      <c r="G185" s="171">
        <f>((E127*(1-'5.Closing Stock &amp; W Capital'!$D$15))+(D127*'5.Closing Stock &amp; W Capital'!$D$15))*$C185*G$172</f>
        <v>0</v>
      </c>
      <c r="H185" s="171">
        <f>((F127*(1-'5.Closing Stock &amp; W Capital'!$D$15))+(E127*'5.Closing Stock &amp; W Capital'!$D$15))*$C185*H$172</f>
        <v>0</v>
      </c>
      <c r="I185" s="171">
        <f>((G127*(1-'5.Closing Stock &amp; W Capital'!$D$15))+(F127*'5.Closing Stock &amp; W Capital'!$D$15))*$C185*I$172</f>
        <v>0</v>
      </c>
      <c r="J185" s="171">
        <f>((H127*(1-'5.Closing Stock &amp; W Capital'!$D$15))+(G127*'5.Closing Stock &amp; W Capital'!$D$15))*$C185*J$172</f>
        <v>0</v>
      </c>
      <c r="K185" s="175" t="e">
        <f t="shared" si="95"/>
        <v>#DIV/0!</v>
      </c>
      <c r="L185" s="52"/>
    </row>
    <row r="186" spans="1:12" ht="15.75" hidden="1" customHeight="1">
      <c r="A186" s="171" t="str">
        <f t="shared" si="94"/>
        <v>Sunflower</v>
      </c>
      <c r="B186" s="57" t="s">
        <v>579</v>
      </c>
      <c r="C186" s="59"/>
      <c r="D186" s="171">
        <f>(B128*(1-'5.Closing Stock &amp; W Capital'!$D$15))*$C186*D$172</f>
        <v>0</v>
      </c>
      <c r="E186" s="171">
        <f>((C128*(1-'5.Closing Stock &amp; W Capital'!$D$15))+(B128*'5.Closing Stock &amp; W Capital'!$D$15))*$C186*E$172</f>
        <v>0</v>
      </c>
      <c r="F186" s="171">
        <f>((D128*(1-'5.Closing Stock &amp; W Capital'!$D$15))+(C128*'5.Closing Stock &amp; W Capital'!$D$15))*$C186*F$172</f>
        <v>0</v>
      </c>
      <c r="G186" s="171">
        <f>((E128*(1-'5.Closing Stock &amp; W Capital'!$D$15))+(D128*'5.Closing Stock &amp; W Capital'!$D$15))*$C186*G$172</f>
        <v>0</v>
      </c>
      <c r="H186" s="171">
        <f>((F128*(1-'5.Closing Stock &amp; W Capital'!$D$15))+(E128*'5.Closing Stock &amp; W Capital'!$D$15))*$C186*H$172</f>
        <v>0</v>
      </c>
      <c r="I186" s="171">
        <f>((G128*(1-'5.Closing Stock &amp; W Capital'!$D$15))+(F128*'5.Closing Stock &amp; W Capital'!$D$15))*$C186*I$172</f>
        <v>0</v>
      </c>
      <c r="J186" s="171">
        <f>((H128*(1-'5.Closing Stock &amp; W Capital'!$D$15))+(G128*'5.Closing Stock &amp; W Capital'!$D$15))*$C186*J$172</f>
        <v>0</v>
      </c>
      <c r="K186" s="175" t="e">
        <f t="shared" si="95"/>
        <v>#DIV/0!</v>
      </c>
      <c r="L186" s="52"/>
    </row>
    <row r="187" spans="1:12" ht="15.75" customHeight="1">
      <c r="A187" s="171" t="str">
        <f t="shared" si="94"/>
        <v>Wheat</v>
      </c>
      <c r="B187" s="57" t="s">
        <v>579</v>
      </c>
      <c r="C187" s="59">
        <v>2500</v>
      </c>
      <c r="D187" s="171">
        <f>(B129*(1-'5.Closing Stock &amp; W Capital'!$D$15))*$C187*D$172</f>
        <v>3710081.2927499991</v>
      </c>
      <c r="E187" s="171">
        <f>((C129*(1-'5.Closing Stock &amp; W Capital'!$D$15))+(B129*'5.Closing Stock &amp; W Capital'!$D$15))*$C187*E$172</f>
        <v>4239941.474110499</v>
      </c>
      <c r="F187" s="171">
        <f>((D129*(1-'5.Closing Stock &amp; W Capital'!$D$15))+(C129*'5.Closing Stock &amp; W Capital'!$D$15))*$C187*F$172</f>
        <v>4716800.4941459987</v>
      </c>
      <c r="G187" s="171">
        <f>((E129*(1-'5.Closing Stock &amp; W Capital'!$D$15))+(D129*'5.Closing Stock &amp; W Capital'!$D$15))*$C187*G$172</f>
        <v>5208802.7031315006</v>
      </c>
      <c r="H187" s="171">
        <f>((F129*(1-'5.Closing Stock &amp; W Capital'!$D$15))+(E129*'5.Closing Stock &amp; W Capital'!$D$15))*$C187*H$172</f>
        <v>5715948.1010669991</v>
      </c>
      <c r="I187" s="171">
        <f>((G129*(1-'5.Closing Stock &amp; W Capital'!$D$15))+(F129*'5.Closing Stock &amp; W Capital'!$D$15))*$C187*I$172</f>
        <v>6238236.6879525017</v>
      </c>
      <c r="J187" s="171">
        <f>((H129*(1-'5.Closing Stock &amp; W Capital'!$D$15))+(G129*'5.Closing Stock &amp; W Capital'!$D$15))*$C187*J$172</f>
        <v>6775668.4637880009</v>
      </c>
      <c r="K187" s="175">
        <f t="shared" si="95"/>
        <v>1484.0325170999997</v>
      </c>
      <c r="L187" s="52">
        <f>+C187*1484</f>
        <v>3710000</v>
      </c>
    </row>
    <row r="188" spans="1:12" ht="15.75" customHeight="1">
      <c r="A188" s="171" t="str">
        <f t="shared" si="94"/>
        <v>Bengal Gram/Channa</v>
      </c>
      <c r="B188" s="57" t="s">
        <v>579</v>
      </c>
      <c r="C188" s="59">
        <v>5800</v>
      </c>
      <c r="D188" s="171">
        <f>(B130*(1-'5.Closing Stock &amp; W Capital'!$D$15))*$C188*D$172</f>
        <v>33473177.885699995</v>
      </c>
      <c r="E188" s="171">
        <f>((C130*(1-'5.Closing Stock &amp; W Capital'!$D$15))+(B130*'5.Closing Stock &amp; W Capital'!$D$15))*$C188*E$172</f>
        <v>38253694.188641399</v>
      </c>
      <c r="F188" s="171">
        <f>((D130*(1-'5.Closing Stock &amp; W Capital'!$D$15))+(C130*'5.Closing Stock &amp; W Capital'!$D$15))*$C188*F$172</f>
        <v>42556022.236072809</v>
      </c>
      <c r="G188" s="171">
        <f>((E130*(1-'5.Closing Stock &amp; W Capital'!$D$15))+(D130*'5.Closing Stock &amp; W Capital'!$D$15))*$C188*G$172</f>
        <v>46994975.499364205</v>
      </c>
      <c r="H188" s="171">
        <f>((F130*(1-'5.Closing Stock &amp; W Capital'!$D$15))+(E130*'5.Closing Stock &amp; W Capital'!$D$15))*$C188*H$172</f>
        <v>51570553.978515625</v>
      </c>
      <c r="I188" s="171">
        <f>((G130*(1-'5.Closing Stock &amp; W Capital'!$D$15))+(F130*'5.Closing Stock &amp; W Capital'!$D$15))*$C188*I$172</f>
        <v>56282757.673527017</v>
      </c>
      <c r="J188" s="171">
        <f>((H130*(1-'5.Closing Stock &amp; W Capital'!$D$15))+(G130*'5.Closing Stock &amp; W Capital'!$D$15))*$C188*J$172</f>
        <v>61131586.584398434</v>
      </c>
      <c r="K188" s="175">
        <f t="shared" si="95"/>
        <v>5771.237566499999</v>
      </c>
      <c r="L188" s="52">
        <f>+C188*5771</f>
        <v>33471800</v>
      </c>
    </row>
    <row r="189" spans="1:12" ht="15.75" hidden="1" customHeight="1">
      <c r="A189" s="171" t="str">
        <f t="shared" si="94"/>
        <v>Jawar</v>
      </c>
      <c r="B189" s="57" t="s">
        <v>579</v>
      </c>
      <c r="C189" s="59"/>
      <c r="D189" s="171">
        <f>(B131*(1-'5.Closing Stock &amp; W Capital'!$D$15))*$C189*D$172</f>
        <v>0</v>
      </c>
      <c r="E189" s="171">
        <f>((C131*(1-'5.Closing Stock &amp; W Capital'!$D$15))+(B131*'5.Closing Stock &amp; W Capital'!$D$15))*$C189*E$172</f>
        <v>0</v>
      </c>
      <c r="F189" s="171">
        <f>((D131*(1-'5.Closing Stock &amp; W Capital'!$D$15))+(C131*'5.Closing Stock &amp; W Capital'!$D$15))*$C189*F$172</f>
        <v>0</v>
      </c>
      <c r="G189" s="171">
        <f>((E131*(1-'5.Closing Stock &amp; W Capital'!$D$15))+(D131*'5.Closing Stock &amp; W Capital'!$D$15))*$C189*G$172</f>
        <v>0</v>
      </c>
      <c r="H189" s="171">
        <f>((F131*(1-'5.Closing Stock &amp; W Capital'!$D$15))+(E131*'5.Closing Stock &amp; W Capital'!$D$15))*$C189*H$172</f>
        <v>0</v>
      </c>
      <c r="I189" s="171">
        <f>((G131*(1-'5.Closing Stock &amp; W Capital'!$D$15))+(F131*'5.Closing Stock &amp; W Capital'!$D$15))*$C189*I$172</f>
        <v>0</v>
      </c>
      <c r="J189" s="171">
        <f>((H131*(1-'5.Closing Stock &amp; W Capital'!$D$15))+(G131*'5.Closing Stock &amp; W Capital'!$D$15))*$C189*J$172</f>
        <v>0</v>
      </c>
      <c r="K189" s="175" t="e">
        <f t="shared" si="95"/>
        <v>#DIV/0!</v>
      </c>
      <c r="L189" s="52"/>
    </row>
    <row r="190" spans="1:12" ht="15.75" hidden="1" customHeight="1">
      <c r="A190" s="171" t="str">
        <f t="shared" si="94"/>
        <v>Maize</v>
      </c>
      <c r="B190" s="57" t="s">
        <v>579</v>
      </c>
      <c r="C190" s="59"/>
      <c r="D190" s="171">
        <f>(B132*(1-'5.Closing Stock &amp; W Capital'!$D$15))*$C190*D$172</f>
        <v>0</v>
      </c>
      <c r="E190" s="171">
        <f>((C132*(1-'5.Closing Stock &amp; W Capital'!$D$15))+(B132*'5.Closing Stock &amp; W Capital'!$D$15))*$C190*E$172</f>
        <v>0</v>
      </c>
      <c r="F190" s="171">
        <f>((D132*(1-'5.Closing Stock &amp; W Capital'!$D$15))+(C132*'5.Closing Stock &amp; W Capital'!$D$15))*$C190*F$172</f>
        <v>0</v>
      </c>
      <c r="G190" s="171">
        <f>((E132*(1-'5.Closing Stock &amp; W Capital'!$D$15))+(D132*'5.Closing Stock &amp; W Capital'!$D$15))*$C190*G$172</f>
        <v>0</v>
      </c>
      <c r="H190" s="171">
        <f>((F132*(1-'5.Closing Stock &amp; W Capital'!$D$15))+(E132*'5.Closing Stock &amp; W Capital'!$D$15))*$C190*H$172</f>
        <v>0</v>
      </c>
      <c r="I190" s="171">
        <f>((G132*(1-'5.Closing Stock &amp; W Capital'!$D$15))+(F132*'5.Closing Stock &amp; W Capital'!$D$15))*$C190*I$172</f>
        <v>0</v>
      </c>
      <c r="J190" s="171">
        <f>((H132*(1-'5.Closing Stock &amp; W Capital'!$D$15))+(G132*'5.Closing Stock &amp; W Capital'!$D$15))*$C190*J$172</f>
        <v>0</v>
      </c>
      <c r="K190" s="175" t="e">
        <f t="shared" si="95"/>
        <v>#DIV/0!</v>
      </c>
      <c r="L190" s="52"/>
    </row>
    <row r="191" spans="1:12" ht="15.75" hidden="1" customHeight="1">
      <c r="A191" s="171" t="str">
        <f t="shared" si="94"/>
        <v>Safflower</v>
      </c>
      <c r="B191" s="57" t="s">
        <v>579</v>
      </c>
      <c r="C191" s="59"/>
      <c r="D191" s="171">
        <f>(B133*(1-'5.Closing Stock &amp; W Capital'!$D$15))*$C191*D$172</f>
        <v>0</v>
      </c>
      <c r="E191" s="171">
        <f>((C133*(1-'5.Closing Stock &amp; W Capital'!$D$15))+(B133*'5.Closing Stock &amp; W Capital'!$D$15))*$C191*E$172</f>
        <v>0</v>
      </c>
      <c r="F191" s="171">
        <f>((D133*(1-'5.Closing Stock &amp; W Capital'!$D$15))+(C133*'5.Closing Stock &amp; W Capital'!$D$15))*$C191*F$172</f>
        <v>0</v>
      </c>
      <c r="G191" s="171">
        <f>((E133*(1-'5.Closing Stock &amp; W Capital'!$D$15))+(D133*'5.Closing Stock &amp; W Capital'!$D$15))*$C191*G$172</f>
        <v>0</v>
      </c>
      <c r="H191" s="171">
        <f>((F133*(1-'5.Closing Stock &amp; W Capital'!$D$15))+(E133*'5.Closing Stock &amp; W Capital'!$D$15))*$C191*H$172</f>
        <v>0</v>
      </c>
      <c r="I191" s="171">
        <f>((G133*(1-'5.Closing Stock &amp; W Capital'!$D$15))+(F133*'5.Closing Stock &amp; W Capital'!$D$15))*$C191*I$172</f>
        <v>0</v>
      </c>
      <c r="J191" s="171">
        <f>((H133*(1-'5.Closing Stock &amp; W Capital'!$D$15))+(G133*'5.Closing Stock &amp; W Capital'!$D$15))*$C191*J$172</f>
        <v>0</v>
      </c>
      <c r="K191" s="175" t="e">
        <f t="shared" si="95"/>
        <v>#DIV/0!</v>
      </c>
      <c r="L191" s="52"/>
    </row>
    <row r="192" spans="1:12" ht="15.75" hidden="1" customHeight="1">
      <c r="A192" s="171">
        <f t="shared" si="94"/>
        <v>0</v>
      </c>
      <c r="B192" s="57" t="s">
        <v>579</v>
      </c>
      <c r="C192" s="59"/>
      <c r="D192" s="171">
        <f>(B134*(1-'5.Closing Stock &amp; W Capital'!$D$15))*$C192*D$172</f>
        <v>0</v>
      </c>
      <c r="E192" s="171">
        <f>((C134*(1-'5.Closing Stock &amp; W Capital'!$D$15))+(B134*'5.Closing Stock &amp; W Capital'!$D$15))*$C192*E$172</f>
        <v>0</v>
      </c>
      <c r="F192" s="171">
        <f>((D134*(1-'5.Closing Stock &amp; W Capital'!$D$15))+(C134*'5.Closing Stock &amp; W Capital'!$D$15))*$C192*F$172</f>
        <v>0</v>
      </c>
      <c r="G192" s="171">
        <f>((E134*(1-'5.Closing Stock &amp; W Capital'!$D$15))+(D134*'5.Closing Stock &amp; W Capital'!$D$15))*$C192*G$172</f>
        <v>0</v>
      </c>
      <c r="H192" s="171">
        <f>((F134*(1-'5.Closing Stock &amp; W Capital'!$D$15))+(E134*'5.Closing Stock &amp; W Capital'!$D$15))*$C192*H$172</f>
        <v>0</v>
      </c>
      <c r="I192" s="171">
        <f>((G134*(1-'5.Closing Stock &amp; W Capital'!$D$15))+(F134*'5.Closing Stock &amp; W Capital'!$D$15))*$C192*I$172</f>
        <v>0</v>
      </c>
      <c r="J192" s="171">
        <f>((H134*(1-'5.Closing Stock &amp; W Capital'!$D$15))+(G134*'5.Closing Stock &amp; W Capital'!$D$15))*$C192*J$172</f>
        <v>0</v>
      </c>
      <c r="K192" s="175" t="e">
        <f t="shared" si="95"/>
        <v>#DIV/0!</v>
      </c>
      <c r="L192" s="52"/>
    </row>
    <row r="193" spans="1:12" ht="15.75" hidden="1" customHeight="1">
      <c r="A193" s="171">
        <f t="shared" si="94"/>
        <v>0</v>
      </c>
      <c r="B193" s="57" t="s">
        <v>579</v>
      </c>
      <c r="C193" s="59"/>
      <c r="D193" s="171">
        <f>(B135*(1-'5.Closing Stock &amp; W Capital'!$D$15))*$C193*D$172</f>
        <v>0</v>
      </c>
      <c r="E193" s="171">
        <f>((C135*(1-'5.Closing Stock &amp; W Capital'!$D$15))+(B135*'5.Closing Stock &amp; W Capital'!$D$15))*$C193*E$172</f>
        <v>0</v>
      </c>
      <c r="F193" s="171">
        <f>((D135*(1-'5.Closing Stock &amp; W Capital'!$D$15))+(C135*'5.Closing Stock &amp; W Capital'!$D$15))*$C193*F$172</f>
        <v>0</v>
      </c>
      <c r="G193" s="171">
        <f>((E135*(1-'5.Closing Stock &amp; W Capital'!$D$15))+(D135*'5.Closing Stock &amp; W Capital'!$D$15))*$C193*G$172</f>
        <v>0</v>
      </c>
      <c r="H193" s="171">
        <f>((F135*(1-'5.Closing Stock &amp; W Capital'!$D$15))+(E135*'5.Closing Stock &amp; W Capital'!$D$15))*$C193*H$172</f>
        <v>0</v>
      </c>
      <c r="I193" s="171">
        <f>((G135*(1-'5.Closing Stock &amp; W Capital'!$D$15))+(F135*'5.Closing Stock &amp; W Capital'!$D$15))*$C193*I$172</f>
        <v>0</v>
      </c>
      <c r="J193" s="171">
        <f>((H135*(1-'5.Closing Stock &amp; W Capital'!$D$15))+(G135*'5.Closing Stock &amp; W Capital'!$D$15))*$C193*J$172</f>
        <v>0</v>
      </c>
      <c r="K193" s="175" t="e">
        <f t="shared" si="95"/>
        <v>#DIV/0!</v>
      </c>
      <c r="L193" s="52"/>
    </row>
    <row r="194" spans="1:12" ht="15.75" hidden="1" customHeight="1">
      <c r="A194" s="171">
        <f t="shared" si="94"/>
        <v>0</v>
      </c>
      <c r="B194" s="57" t="s">
        <v>579</v>
      </c>
      <c r="C194" s="59"/>
      <c r="D194" s="171">
        <f>(B136*(1-'5.Closing Stock &amp; W Capital'!$D$15))*$C194*D$172</f>
        <v>0</v>
      </c>
      <c r="E194" s="171">
        <f>((C136*(1-'5.Closing Stock &amp; W Capital'!$D$15))+(B136*'5.Closing Stock &amp; W Capital'!$D$15))*$C194*E$172</f>
        <v>0</v>
      </c>
      <c r="F194" s="171">
        <f>((D136*(1-'5.Closing Stock &amp; W Capital'!$D$15))+(C136*'5.Closing Stock &amp; W Capital'!$D$15))*$C194*F$172</f>
        <v>0</v>
      </c>
      <c r="G194" s="171">
        <f>((E136*(1-'5.Closing Stock &amp; W Capital'!$D$15))+(D136*'5.Closing Stock &amp; W Capital'!$D$15))*$C194*G$172</f>
        <v>0</v>
      </c>
      <c r="H194" s="171">
        <f>((F136*(1-'5.Closing Stock &amp; W Capital'!$D$15))+(E136*'5.Closing Stock &amp; W Capital'!$D$15))*$C194*H$172</f>
        <v>0</v>
      </c>
      <c r="I194" s="171">
        <f>((G136*(1-'5.Closing Stock &amp; W Capital'!$D$15))+(F136*'5.Closing Stock &amp; W Capital'!$D$15))*$C194*I$172</f>
        <v>0</v>
      </c>
      <c r="J194" s="171">
        <f>((H136*(1-'5.Closing Stock &amp; W Capital'!$D$15))+(G136*'5.Closing Stock &amp; W Capital'!$D$15))*$C194*J$172</f>
        <v>0</v>
      </c>
      <c r="K194" s="175" t="e">
        <f t="shared" si="95"/>
        <v>#DIV/0!</v>
      </c>
      <c r="L194" s="52"/>
    </row>
    <row r="195" spans="1:12" ht="15.75" hidden="1" customHeight="1">
      <c r="A195" s="171" t="str">
        <f t="shared" si="94"/>
        <v>Groundnut</v>
      </c>
      <c r="B195" s="57" t="s">
        <v>579</v>
      </c>
      <c r="C195" s="59"/>
      <c r="D195" s="171">
        <f>(B137*(1-'5.Closing Stock &amp; W Capital'!$D$15))*$C195*D$172</f>
        <v>0</v>
      </c>
      <c r="E195" s="171">
        <f>((C137*(1-'5.Closing Stock &amp; W Capital'!$D$15))+(B137*'5.Closing Stock &amp; W Capital'!$D$15))*$C195*E$172</f>
        <v>0</v>
      </c>
      <c r="F195" s="171">
        <f>((D137*(1-'5.Closing Stock &amp; W Capital'!$D$15))+(C137*'5.Closing Stock &amp; W Capital'!$D$15))*$C195*F$172</f>
        <v>0</v>
      </c>
      <c r="G195" s="171">
        <f>((E137*(1-'5.Closing Stock &amp; W Capital'!$D$15))+(D137*'5.Closing Stock &amp; W Capital'!$D$15))*$C195*G$172</f>
        <v>0</v>
      </c>
      <c r="H195" s="171">
        <f>((F137*(1-'5.Closing Stock &amp; W Capital'!$D$15))+(E137*'5.Closing Stock &amp; W Capital'!$D$15))*$C195*H$172</f>
        <v>0</v>
      </c>
      <c r="I195" s="171">
        <f>((G137*(1-'5.Closing Stock &amp; W Capital'!$D$15))+(F137*'5.Closing Stock &amp; W Capital'!$D$15))*$C195*I$172</f>
        <v>0</v>
      </c>
      <c r="J195" s="171">
        <f>((H137*(1-'5.Closing Stock &amp; W Capital'!$D$15))+(G137*'5.Closing Stock &amp; W Capital'!$D$15))*$C195*J$172</f>
        <v>0</v>
      </c>
      <c r="K195" s="175" t="e">
        <f t="shared" si="95"/>
        <v>#DIV/0!</v>
      </c>
      <c r="L195" s="52"/>
    </row>
    <row r="196" spans="1:12" ht="15.75" hidden="1" customHeight="1">
      <c r="A196" s="171">
        <f t="shared" si="94"/>
        <v>0</v>
      </c>
      <c r="B196" s="57" t="s">
        <v>579</v>
      </c>
      <c r="C196" s="59"/>
      <c r="D196" s="171">
        <f>(B138*(1-'5.Closing Stock &amp; W Capital'!$D$15))*$C196*D$172</f>
        <v>0</v>
      </c>
      <c r="E196" s="171">
        <f>((C138*(1-'5.Closing Stock &amp; W Capital'!$D$15))+(B138*'5.Closing Stock &amp; W Capital'!$D$15))*$C196*E$172</f>
        <v>0</v>
      </c>
      <c r="F196" s="171">
        <f>((D138*(1-'5.Closing Stock &amp; W Capital'!$D$15))+(C138*'5.Closing Stock &amp; W Capital'!$D$15))*$C196*F$172</f>
        <v>0</v>
      </c>
      <c r="G196" s="171">
        <f>((E138*(1-'5.Closing Stock &amp; W Capital'!$D$15))+(D138*'5.Closing Stock &amp; W Capital'!$D$15))*$C196*G$172</f>
        <v>0</v>
      </c>
      <c r="H196" s="171">
        <f>((F138*(1-'5.Closing Stock &amp; W Capital'!$D$15))+(E138*'5.Closing Stock &amp; W Capital'!$D$15))*$C196*H$172</f>
        <v>0</v>
      </c>
      <c r="I196" s="171">
        <f>((G138*(1-'5.Closing Stock &amp; W Capital'!$D$15))+(F138*'5.Closing Stock &amp; W Capital'!$D$15))*$C196*I$172</f>
        <v>0</v>
      </c>
      <c r="J196" s="171">
        <f>((H138*(1-'5.Closing Stock &amp; W Capital'!$D$15))+(G138*'5.Closing Stock &amp; W Capital'!$D$15))*$C196*J$172</f>
        <v>0</v>
      </c>
      <c r="K196" s="175" t="e">
        <f t="shared" si="95"/>
        <v>#DIV/0!</v>
      </c>
      <c r="L196" s="52"/>
    </row>
    <row r="197" spans="1:12" ht="15.75" hidden="1" customHeight="1">
      <c r="A197" s="171">
        <f t="shared" si="94"/>
        <v>0</v>
      </c>
      <c r="B197" s="57" t="s">
        <v>579</v>
      </c>
      <c r="C197" s="59"/>
      <c r="D197" s="171">
        <f>(B139*(1-'5.Closing Stock &amp; W Capital'!$D$15))*$C197*D$172</f>
        <v>0</v>
      </c>
      <c r="E197" s="171">
        <f>((C139*(1-'5.Closing Stock &amp; W Capital'!$D$15))+(B139*'5.Closing Stock &amp; W Capital'!$D$15))*$C197*E$172</f>
        <v>0</v>
      </c>
      <c r="F197" s="171">
        <f>((D139*(1-'5.Closing Stock &amp; W Capital'!$D$15))+(C139*'5.Closing Stock &amp; W Capital'!$D$15))*$C197*F$172</f>
        <v>0</v>
      </c>
      <c r="G197" s="171">
        <f>((E139*(1-'5.Closing Stock &amp; W Capital'!$D$15))+(D139*'5.Closing Stock &amp; W Capital'!$D$15))*$C197*G$172</f>
        <v>0</v>
      </c>
      <c r="H197" s="171">
        <f>((F139*(1-'5.Closing Stock &amp; W Capital'!$D$15))+(E139*'5.Closing Stock &amp; W Capital'!$D$15))*$C197*H$172</f>
        <v>0</v>
      </c>
      <c r="I197" s="171">
        <f>((G139*(1-'5.Closing Stock &amp; W Capital'!$D$15))+(F139*'5.Closing Stock &amp; W Capital'!$D$15))*$C197*I$172</f>
        <v>0</v>
      </c>
      <c r="J197" s="171">
        <f>((H139*(1-'5.Closing Stock &amp; W Capital'!$D$15))+(G139*'5.Closing Stock &amp; W Capital'!$D$15))*$C197*J$172</f>
        <v>0</v>
      </c>
      <c r="K197" s="175" t="e">
        <f t="shared" si="95"/>
        <v>#DIV/0!</v>
      </c>
      <c r="L197" s="52"/>
    </row>
    <row r="198" spans="1:12" ht="15.75" hidden="1" customHeight="1">
      <c r="A198" s="171">
        <f t="shared" si="94"/>
        <v>0</v>
      </c>
      <c r="B198" s="57" t="s">
        <v>579</v>
      </c>
      <c r="C198" s="59"/>
      <c r="D198" s="171">
        <f>(B140*(1-'5.Closing Stock &amp; W Capital'!$D$15))*$C198*D$172</f>
        <v>0</v>
      </c>
      <c r="E198" s="171">
        <f>((C140*(1-'5.Closing Stock &amp; W Capital'!$D$15))+(B140*'5.Closing Stock &amp; W Capital'!$D$15))*$C198*E$172</f>
        <v>0</v>
      </c>
      <c r="F198" s="171">
        <f>((D140*(1-'5.Closing Stock &amp; W Capital'!$D$15))+(C140*'5.Closing Stock &amp; W Capital'!$D$15))*$C198*F$172</f>
        <v>0</v>
      </c>
      <c r="G198" s="171">
        <f>((E140*(1-'5.Closing Stock &amp; W Capital'!$D$15))+(D140*'5.Closing Stock &amp; W Capital'!$D$15))*$C198*G$172</f>
        <v>0</v>
      </c>
      <c r="H198" s="171">
        <f>((F140*(1-'5.Closing Stock &amp; W Capital'!$D$15))+(E140*'5.Closing Stock &amp; W Capital'!$D$15))*$C198*H$172</f>
        <v>0</v>
      </c>
      <c r="I198" s="171">
        <f>((G140*(1-'5.Closing Stock &amp; W Capital'!$D$15))+(F140*'5.Closing Stock &amp; W Capital'!$D$15))*$C198*I$172</f>
        <v>0</v>
      </c>
      <c r="J198" s="171">
        <f>((H140*(1-'5.Closing Stock &amp; W Capital'!$D$15))+(G140*'5.Closing Stock &amp; W Capital'!$D$15))*$C198*J$172</f>
        <v>0</v>
      </c>
      <c r="K198" s="175" t="e">
        <f t="shared" si="95"/>
        <v>#DIV/0!</v>
      </c>
      <c r="L198" s="52"/>
    </row>
    <row r="199" spans="1:12" ht="15.75" hidden="1" customHeight="1">
      <c r="A199" s="57"/>
      <c r="B199" s="57" t="s">
        <v>579</v>
      </c>
      <c r="C199" s="59"/>
      <c r="D199" s="171">
        <f>(B141*(1-'5.Closing Stock &amp; W Capital'!$D$15))*$C199*D$172</f>
        <v>0</v>
      </c>
      <c r="E199" s="171">
        <f>((C141*(1-'5.Closing Stock &amp; W Capital'!$D$15))+(B141*'5.Closing Stock &amp; W Capital'!$D$15))*$C199*E$172</f>
        <v>0</v>
      </c>
      <c r="F199" s="171">
        <f>((D141*(1-'5.Closing Stock &amp; W Capital'!$D$15))+(C141*'5.Closing Stock &amp; W Capital'!$D$15))*$C199*F$172</f>
        <v>0</v>
      </c>
      <c r="G199" s="171">
        <f>((E141*(1-'5.Closing Stock &amp; W Capital'!$D$15))+(D141*'5.Closing Stock &amp; W Capital'!$D$15))*$C199*G$172</f>
        <v>0</v>
      </c>
      <c r="H199" s="171">
        <f>((F141*(1-'5.Closing Stock &amp; W Capital'!$D$15))+(E141*'5.Closing Stock &amp; W Capital'!$D$15))*$C199*H$172</f>
        <v>0</v>
      </c>
      <c r="I199" s="171">
        <f>((G141*(1-'5.Closing Stock &amp; W Capital'!$D$15))+(F141*'5.Closing Stock &amp; W Capital'!$D$15))*$C199*I$172</f>
        <v>0</v>
      </c>
      <c r="J199" s="171">
        <f>((H141*(1-'5.Closing Stock &amp; W Capital'!$D$15))+(G141*'5.Closing Stock &amp; W Capital'!$D$15))*$C199*J$172</f>
        <v>0</v>
      </c>
      <c r="K199" s="175" t="e">
        <f t="shared" si="95"/>
        <v>#DIV/0!</v>
      </c>
      <c r="L199" s="52"/>
    </row>
    <row r="200" spans="1:12" ht="15.75" customHeight="1">
      <c r="A200" s="60" t="s">
        <v>580</v>
      </c>
      <c r="B200" s="57" t="s">
        <v>579</v>
      </c>
      <c r="C200" s="57">
        <v>50</v>
      </c>
      <c r="D200" s="171">
        <f t="shared" ref="D200:J200" si="96">B65*$C$200*D172</f>
        <v>492598.53750000003</v>
      </c>
      <c r="E200" s="171">
        <f t="shared" si="96"/>
        <v>552695.559075</v>
      </c>
      <c r="F200" s="171">
        <f t="shared" si="96"/>
        <v>614762.97479999997</v>
      </c>
      <c r="G200" s="171">
        <f t="shared" si="96"/>
        <v>678800.784675</v>
      </c>
      <c r="H200" s="171">
        <f t="shared" si="96"/>
        <v>744808.98870000034</v>
      </c>
      <c r="I200" s="171">
        <f t="shared" si="96"/>
        <v>812787.58687500039</v>
      </c>
      <c r="J200" s="171">
        <f t="shared" si="96"/>
        <v>882736.5792000005</v>
      </c>
      <c r="K200" s="175">
        <f t="shared" si="95"/>
        <v>9851.9707500000004</v>
      </c>
      <c r="L200" s="52">
        <f>+C200*9852</f>
        <v>492600</v>
      </c>
    </row>
    <row r="201" spans="1:12" ht="15.75" hidden="1" customHeight="1">
      <c r="A201" s="60"/>
      <c r="B201" s="60"/>
      <c r="C201" s="57"/>
      <c r="D201" s="57"/>
      <c r="E201" s="57"/>
      <c r="F201" s="57"/>
      <c r="G201" s="57"/>
      <c r="H201" s="57"/>
      <c r="I201" s="57"/>
      <c r="J201" s="57"/>
      <c r="K201" s="52"/>
      <c r="L201" s="52"/>
    </row>
    <row r="202" spans="1:12" ht="15.75" hidden="1" customHeight="1">
      <c r="A202" s="170" t="str">
        <f t="shared" ref="A202:A227" si="97">A143</f>
        <v>Fruit  &amp; Vegetables Crop Production Details</v>
      </c>
      <c r="B202" s="60"/>
      <c r="C202" s="57"/>
      <c r="D202" s="57"/>
      <c r="E202" s="57"/>
      <c r="F202" s="57"/>
      <c r="G202" s="57"/>
      <c r="H202" s="57"/>
      <c r="I202" s="57"/>
      <c r="J202" s="57"/>
      <c r="K202" s="52"/>
      <c r="L202" s="52"/>
    </row>
    <row r="203" spans="1:12" ht="15.75" hidden="1" customHeight="1">
      <c r="A203" s="170" t="str">
        <f t="shared" si="97"/>
        <v>Onion</v>
      </c>
      <c r="B203" s="57" t="s">
        <v>579</v>
      </c>
      <c r="C203" s="143">
        <v>2000</v>
      </c>
      <c r="D203" s="171">
        <f>(B144*(1-'5.Closing Stock &amp; W Capital'!$D$15))*$C203*D$172</f>
        <v>0</v>
      </c>
      <c r="E203" s="171">
        <f>((C144*(1-'5.Closing Stock &amp; W Capital'!$D$15))+(B144*'5.Closing Stock &amp; W Capital'!$D$15))*$C203*E$172</f>
        <v>0</v>
      </c>
      <c r="F203" s="171">
        <f>((D144*(1-'5.Closing Stock &amp; W Capital'!$D$15))+(C144*'5.Closing Stock &amp; W Capital'!$D$15))*$C203*F$172</f>
        <v>0</v>
      </c>
      <c r="G203" s="171">
        <f>((E144*(1-'5.Closing Stock &amp; W Capital'!$D$15))+(D144*'5.Closing Stock &amp; W Capital'!$D$15))*$C203*G$172</f>
        <v>0</v>
      </c>
      <c r="H203" s="171">
        <f>((F144*(1-'5.Closing Stock &amp; W Capital'!$D$15))+(E144*'5.Closing Stock &amp; W Capital'!$D$15))*$C203*H$172</f>
        <v>0</v>
      </c>
      <c r="I203" s="171">
        <f>((G144*(1-'5.Closing Stock &amp; W Capital'!$D$15))+(F144*'5.Closing Stock &amp; W Capital'!$D$15))*$C203*I$172</f>
        <v>0</v>
      </c>
      <c r="J203" s="171">
        <f>((H144*(1-'5.Closing Stock &amp; W Capital'!$D$15))+(G144*'5.Closing Stock &amp; W Capital'!$D$15))*$C203*J$172</f>
        <v>0</v>
      </c>
      <c r="K203" s="52"/>
      <c r="L203" s="52"/>
    </row>
    <row r="204" spans="1:12" ht="15.75" hidden="1" customHeight="1">
      <c r="A204" s="170" t="str">
        <f t="shared" si="97"/>
        <v>Tomato</v>
      </c>
      <c r="B204" s="57" t="s">
        <v>579</v>
      </c>
      <c r="C204" s="59">
        <v>1000</v>
      </c>
      <c r="D204" s="171">
        <f>(B145*(1-'5.Closing Stock &amp; W Capital'!$D$15))*$C204*D$172</f>
        <v>0</v>
      </c>
      <c r="E204" s="171">
        <f>((C145*(1-'5.Closing Stock &amp; W Capital'!$D$15))+(B145*'5.Closing Stock &amp; W Capital'!$D$15))*$C204*E$172</f>
        <v>0</v>
      </c>
      <c r="F204" s="171">
        <f>((D145*(1-'5.Closing Stock &amp; W Capital'!$D$15))+(C145*'5.Closing Stock &amp; W Capital'!$D$15))*$C204*F$172</f>
        <v>0</v>
      </c>
      <c r="G204" s="171">
        <f>((E145*(1-'5.Closing Stock &amp; W Capital'!$D$15))+(D145*'5.Closing Stock &amp; W Capital'!$D$15))*$C204*G$172</f>
        <v>0</v>
      </c>
      <c r="H204" s="171">
        <f>((F145*(1-'5.Closing Stock &amp; W Capital'!$D$15))+(E145*'5.Closing Stock &amp; W Capital'!$D$15))*$C204*H$172</f>
        <v>0</v>
      </c>
      <c r="I204" s="171">
        <f>((G145*(1-'5.Closing Stock &amp; W Capital'!$D$15))+(F145*'5.Closing Stock &amp; W Capital'!$D$15))*$C204*I$172</f>
        <v>0</v>
      </c>
      <c r="J204" s="171">
        <f>((H145*(1-'5.Closing Stock &amp; W Capital'!$D$15))+(G145*'5.Closing Stock &amp; W Capital'!$D$15))*$C204*J$172</f>
        <v>0</v>
      </c>
      <c r="K204" s="52"/>
      <c r="L204" s="52"/>
    </row>
    <row r="205" spans="1:12" ht="15.75" hidden="1" customHeight="1">
      <c r="A205" s="170" t="str">
        <f t="shared" si="97"/>
        <v>Okra</v>
      </c>
      <c r="B205" s="57" t="s">
        <v>579</v>
      </c>
      <c r="C205" s="59">
        <v>1500</v>
      </c>
      <c r="D205" s="171">
        <f>(B146*(1-'5.Closing Stock &amp; W Capital'!$D$15))*$C205*D$172</f>
        <v>0</v>
      </c>
      <c r="E205" s="171">
        <f>((C146*(1-'5.Closing Stock &amp; W Capital'!$D$15))+(B146*'5.Closing Stock &amp; W Capital'!$D$15))*$C205*E$172</f>
        <v>0</v>
      </c>
      <c r="F205" s="171">
        <f>((D146*(1-'5.Closing Stock &amp; W Capital'!$D$15))+(C146*'5.Closing Stock &amp; W Capital'!$D$15))*$C205*F$172</f>
        <v>0</v>
      </c>
      <c r="G205" s="171">
        <f>((E146*(1-'5.Closing Stock &amp; W Capital'!$D$15))+(D146*'5.Closing Stock &amp; W Capital'!$D$15))*$C205*G$172</f>
        <v>0</v>
      </c>
      <c r="H205" s="171">
        <f>((F146*(1-'5.Closing Stock &amp; W Capital'!$D$15))+(E146*'5.Closing Stock &amp; W Capital'!$D$15))*$C205*H$172</f>
        <v>0</v>
      </c>
      <c r="I205" s="171">
        <f>((G146*(1-'5.Closing Stock &amp; W Capital'!$D$15))+(F146*'5.Closing Stock &amp; W Capital'!$D$15))*$C205*I$172</f>
        <v>0</v>
      </c>
      <c r="J205" s="171">
        <f>((H146*(1-'5.Closing Stock &amp; W Capital'!$D$15))+(G146*'5.Closing Stock &amp; W Capital'!$D$15))*$C205*J$172</f>
        <v>0</v>
      </c>
      <c r="K205" s="52"/>
      <c r="L205" s="52"/>
    </row>
    <row r="206" spans="1:12" ht="15.75" hidden="1" customHeight="1">
      <c r="A206" s="170" t="str">
        <f t="shared" si="97"/>
        <v>Chilli</v>
      </c>
      <c r="B206" s="57" t="s">
        <v>579</v>
      </c>
      <c r="C206" s="59">
        <v>3000</v>
      </c>
      <c r="D206" s="171">
        <f>(B147*(1-'5.Closing Stock &amp; W Capital'!$D$15))*$C206*D$172</f>
        <v>0</v>
      </c>
      <c r="E206" s="171">
        <f>((C147*(1-'5.Closing Stock &amp; W Capital'!$D$15))+(B147*'5.Closing Stock &amp; W Capital'!$D$15))*$C206*E$172</f>
        <v>0</v>
      </c>
      <c r="F206" s="171">
        <f>((D147*(1-'5.Closing Stock &amp; W Capital'!$D$15))+(C147*'5.Closing Stock &amp; W Capital'!$D$15))*$C206*F$172</f>
        <v>0</v>
      </c>
      <c r="G206" s="171">
        <f>((E147*(1-'5.Closing Stock &amp; W Capital'!$D$15))+(D147*'5.Closing Stock &amp; W Capital'!$D$15))*$C206*G$172</f>
        <v>0</v>
      </c>
      <c r="H206" s="171">
        <f>((F147*(1-'5.Closing Stock &amp; W Capital'!$D$15))+(E147*'5.Closing Stock &amp; W Capital'!$D$15))*$C206*H$172</f>
        <v>0</v>
      </c>
      <c r="I206" s="171">
        <f>((G147*(1-'5.Closing Stock &amp; W Capital'!$D$15))+(F147*'5.Closing Stock &amp; W Capital'!$D$15))*$C206*I$172</f>
        <v>0</v>
      </c>
      <c r="J206" s="171">
        <f>((H147*(1-'5.Closing Stock &amp; W Capital'!$D$15))+(G147*'5.Closing Stock &amp; W Capital'!$D$15))*$C206*J$172</f>
        <v>0</v>
      </c>
      <c r="K206" s="52"/>
      <c r="L206" s="52"/>
    </row>
    <row r="207" spans="1:12" ht="15.75" hidden="1" customHeight="1">
      <c r="A207" s="170" t="str">
        <f t="shared" si="97"/>
        <v>Potato</v>
      </c>
      <c r="B207" s="57" t="s">
        <v>579</v>
      </c>
      <c r="C207" s="59">
        <v>1500</v>
      </c>
      <c r="D207" s="171">
        <f>(B148*(1-'5.Closing Stock &amp; W Capital'!$D$15))*$C207*D$172</f>
        <v>0</v>
      </c>
      <c r="E207" s="171">
        <f>((C148*(1-'5.Closing Stock &amp; W Capital'!$D$15))+(B148*'5.Closing Stock &amp; W Capital'!$D$15))*$C207*E$172</f>
        <v>0</v>
      </c>
      <c r="F207" s="171">
        <f>((D148*(1-'5.Closing Stock &amp; W Capital'!$D$15))+(C148*'5.Closing Stock &amp; W Capital'!$D$15))*$C207*F$172</f>
        <v>0</v>
      </c>
      <c r="G207" s="171">
        <f>((E148*(1-'5.Closing Stock &amp; W Capital'!$D$15))+(D148*'5.Closing Stock &amp; W Capital'!$D$15))*$C207*G$172</f>
        <v>0</v>
      </c>
      <c r="H207" s="171">
        <f>((F148*(1-'5.Closing Stock &amp; W Capital'!$D$15))+(E148*'5.Closing Stock &amp; W Capital'!$D$15))*$C207*H$172</f>
        <v>0</v>
      </c>
      <c r="I207" s="171">
        <f>((G148*(1-'5.Closing Stock &amp; W Capital'!$D$15))+(F148*'5.Closing Stock &amp; W Capital'!$D$15))*$C207*I$172</f>
        <v>0</v>
      </c>
      <c r="J207" s="171">
        <f>((H148*(1-'5.Closing Stock &amp; W Capital'!$D$15))+(G148*'5.Closing Stock &amp; W Capital'!$D$15))*$C207*J$172</f>
        <v>0</v>
      </c>
      <c r="K207" s="52"/>
      <c r="L207" s="52"/>
    </row>
    <row r="208" spans="1:12" ht="15.75" hidden="1" customHeight="1">
      <c r="A208" s="170">
        <f t="shared" si="97"/>
        <v>0</v>
      </c>
      <c r="B208" s="57" t="s">
        <v>579</v>
      </c>
      <c r="C208" s="57"/>
      <c r="D208" s="171">
        <f>(B149*(1-'5.Closing Stock &amp; W Capital'!$D$15))*$C208*D$172</f>
        <v>0</v>
      </c>
      <c r="E208" s="171">
        <f>((C149*(1-'5.Closing Stock &amp; W Capital'!$D$15))+(B149*'5.Closing Stock &amp; W Capital'!$D$15))*$C208*E$172</f>
        <v>0</v>
      </c>
      <c r="F208" s="171">
        <f>((D149*(1-'5.Closing Stock &amp; W Capital'!$D$15))+(C149*'5.Closing Stock &amp; W Capital'!$D$15))*$C208*F$172</f>
        <v>0</v>
      </c>
      <c r="G208" s="171">
        <f>((E149*(1-'5.Closing Stock &amp; W Capital'!$D$15))+(D149*'5.Closing Stock &amp; W Capital'!$D$15))*$C208*G$172</f>
        <v>0</v>
      </c>
      <c r="H208" s="171">
        <f>((F149*(1-'5.Closing Stock &amp; W Capital'!$D$15))+(E149*'5.Closing Stock &amp; W Capital'!$D$15))*$C208*H$172</f>
        <v>0</v>
      </c>
      <c r="I208" s="171">
        <f>((G149*(1-'5.Closing Stock &amp; W Capital'!$D$15))+(F149*'5.Closing Stock &amp; W Capital'!$D$15))*$C208*I$172</f>
        <v>0</v>
      </c>
      <c r="J208" s="171">
        <f>((H149*(1-'5.Closing Stock &amp; W Capital'!$D$15))+(G149*'5.Closing Stock &amp; W Capital'!$D$15))*$C208*J$172</f>
        <v>0</v>
      </c>
      <c r="K208" s="52"/>
      <c r="L208" s="52"/>
    </row>
    <row r="209" spans="1:12" ht="15.75" hidden="1" customHeight="1">
      <c r="A209" s="170">
        <f t="shared" si="97"/>
        <v>0</v>
      </c>
      <c r="B209" s="57" t="s">
        <v>579</v>
      </c>
      <c r="C209" s="57"/>
      <c r="D209" s="171">
        <f>(B150*(1-'5.Closing Stock &amp; W Capital'!$D$15))*$C209*D$172</f>
        <v>0</v>
      </c>
      <c r="E209" s="171">
        <f>((C150*(1-'5.Closing Stock &amp; W Capital'!$D$15))+(B150*'5.Closing Stock &amp; W Capital'!$D$15))*$C209*E$172</f>
        <v>0</v>
      </c>
      <c r="F209" s="171">
        <f>((D150*(1-'5.Closing Stock &amp; W Capital'!$D$15))+(C150*'5.Closing Stock &amp; W Capital'!$D$15))*$C209*F$172</f>
        <v>0</v>
      </c>
      <c r="G209" s="171">
        <f>((E150*(1-'5.Closing Stock &amp; W Capital'!$D$15))+(D150*'5.Closing Stock &amp; W Capital'!$D$15))*$C209*G$172</f>
        <v>0</v>
      </c>
      <c r="H209" s="171">
        <f>((F150*(1-'5.Closing Stock &amp; W Capital'!$D$15))+(E150*'5.Closing Stock &amp; W Capital'!$D$15))*$C209*H$172</f>
        <v>0</v>
      </c>
      <c r="I209" s="171">
        <f>((G150*(1-'5.Closing Stock &amp; W Capital'!$D$15))+(F150*'5.Closing Stock &amp; W Capital'!$D$15))*$C209*I$172</f>
        <v>0</v>
      </c>
      <c r="J209" s="171">
        <f>((H150*(1-'5.Closing Stock &amp; W Capital'!$D$15))+(G150*'5.Closing Stock &amp; W Capital'!$D$15))*$C209*J$172</f>
        <v>0</v>
      </c>
      <c r="K209" s="52"/>
      <c r="L209" s="52"/>
    </row>
    <row r="210" spans="1:12" ht="15.75" hidden="1" customHeight="1">
      <c r="A210" s="170">
        <f t="shared" si="97"/>
        <v>0</v>
      </c>
      <c r="B210" s="57" t="s">
        <v>579</v>
      </c>
      <c r="C210" s="57"/>
      <c r="D210" s="171">
        <f>(B151*(1-'5.Closing Stock &amp; W Capital'!$D$15))*$C210*D$172</f>
        <v>0</v>
      </c>
      <c r="E210" s="171">
        <f>((C151*(1-'5.Closing Stock &amp; W Capital'!$D$15))+(B151*'5.Closing Stock &amp; W Capital'!$D$15))*$C210*E$172</f>
        <v>0</v>
      </c>
      <c r="F210" s="171">
        <f>((D151*(1-'5.Closing Stock &amp; W Capital'!$D$15))+(C151*'5.Closing Stock &amp; W Capital'!$D$15))*$C210*F$172</f>
        <v>0</v>
      </c>
      <c r="G210" s="171">
        <f>((E151*(1-'5.Closing Stock &amp; W Capital'!$D$15))+(D151*'5.Closing Stock &amp; W Capital'!$D$15))*$C210*G$172</f>
        <v>0</v>
      </c>
      <c r="H210" s="171">
        <f>((F151*(1-'5.Closing Stock &amp; W Capital'!$D$15))+(E151*'5.Closing Stock &amp; W Capital'!$D$15))*$C210*H$172</f>
        <v>0</v>
      </c>
      <c r="I210" s="171">
        <f>((G151*(1-'5.Closing Stock &amp; W Capital'!$D$15))+(F151*'5.Closing Stock &amp; W Capital'!$D$15))*$C210*I$172</f>
        <v>0</v>
      </c>
      <c r="J210" s="171">
        <f>((H151*(1-'5.Closing Stock &amp; W Capital'!$D$15))+(G151*'5.Closing Stock &amp; W Capital'!$D$15))*$C210*J$172</f>
        <v>0</v>
      </c>
      <c r="K210" s="52"/>
      <c r="L210" s="52"/>
    </row>
    <row r="211" spans="1:12" ht="15.75" hidden="1" customHeight="1">
      <c r="A211" s="170">
        <f t="shared" si="97"/>
        <v>0</v>
      </c>
      <c r="B211" s="57" t="s">
        <v>579</v>
      </c>
      <c r="C211" s="57"/>
      <c r="D211" s="171">
        <f>(B152*(1-'5.Closing Stock &amp; W Capital'!$D$15))*$C211*D$172</f>
        <v>0</v>
      </c>
      <c r="E211" s="171">
        <f>((C152*(1-'5.Closing Stock &amp; W Capital'!$D$15))+(B152*'5.Closing Stock &amp; W Capital'!$D$15))*$C211*E$172</f>
        <v>0</v>
      </c>
      <c r="F211" s="171">
        <f>((D152*(1-'5.Closing Stock &amp; W Capital'!$D$15))+(C152*'5.Closing Stock &amp; W Capital'!$D$15))*$C211*F$172</f>
        <v>0</v>
      </c>
      <c r="G211" s="171">
        <f>((E152*(1-'5.Closing Stock &amp; W Capital'!$D$15))+(D152*'5.Closing Stock &amp; W Capital'!$D$15))*$C211*G$172</f>
        <v>0</v>
      </c>
      <c r="H211" s="171">
        <f>((F152*(1-'5.Closing Stock &amp; W Capital'!$D$15))+(E152*'5.Closing Stock &amp; W Capital'!$D$15))*$C211*H$172</f>
        <v>0</v>
      </c>
      <c r="I211" s="171">
        <f>((G152*(1-'5.Closing Stock &amp; W Capital'!$D$15))+(F152*'5.Closing Stock &amp; W Capital'!$D$15))*$C211*I$172</f>
        <v>0</v>
      </c>
      <c r="J211" s="171">
        <f>((H152*(1-'5.Closing Stock &amp; W Capital'!$D$15))+(G152*'5.Closing Stock &amp; W Capital'!$D$15))*$C211*J$172</f>
        <v>0</v>
      </c>
      <c r="K211" s="52"/>
      <c r="L211" s="52"/>
    </row>
    <row r="212" spans="1:12" ht="15.75" hidden="1" customHeight="1">
      <c r="A212" s="170" t="str">
        <f t="shared" si="97"/>
        <v>Onion</v>
      </c>
      <c r="B212" s="57" t="s">
        <v>579</v>
      </c>
      <c r="C212" s="59">
        <v>2000</v>
      </c>
      <c r="D212" s="171">
        <f>(B153*(1-'5.Closing Stock &amp; W Capital'!$D$15))*$C212*D$172</f>
        <v>0</v>
      </c>
      <c r="E212" s="171">
        <f>((C153*(1-'5.Closing Stock &amp; W Capital'!$D$15))+(B153*'5.Closing Stock &amp; W Capital'!$D$15))*$C212*E$172</f>
        <v>0</v>
      </c>
      <c r="F212" s="171">
        <f>((D153*(1-'5.Closing Stock &amp; W Capital'!$D$15))+(C153*'5.Closing Stock &amp; W Capital'!$D$15))*$C212*F$172</f>
        <v>0</v>
      </c>
      <c r="G212" s="171">
        <f>((E153*(1-'5.Closing Stock &amp; W Capital'!$D$15))+(D153*'5.Closing Stock &amp; W Capital'!$D$15))*$C212*G$172</f>
        <v>0</v>
      </c>
      <c r="H212" s="171">
        <f>((F153*(1-'5.Closing Stock &amp; W Capital'!$D$15))+(E153*'5.Closing Stock &amp; W Capital'!$D$15))*$C212*H$172</f>
        <v>0</v>
      </c>
      <c r="I212" s="171">
        <f>((G153*(1-'5.Closing Stock &amp; W Capital'!$D$15))+(F153*'5.Closing Stock &amp; W Capital'!$D$15))*$C212*I$172</f>
        <v>0</v>
      </c>
      <c r="J212" s="171">
        <f>((H153*(1-'5.Closing Stock &amp; W Capital'!$D$15))+(G153*'5.Closing Stock &amp; W Capital'!$D$15))*$C212*J$172</f>
        <v>0</v>
      </c>
      <c r="K212" s="52"/>
      <c r="L212" s="52"/>
    </row>
    <row r="213" spans="1:12" ht="15.75" hidden="1" customHeight="1">
      <c r="A213" s="170" t="str">
        <f t="shared" si="97"/>
        <v>Tomato</v>
      </c>
      <c r="B213" s="57" t="s">
        <v>579</v>
      </c>
      <c r="C213" s="59">
        <v>1000</v>
      </c>
      <c r="D213" s="171">
        <f>(B154*(1-'5.Closing Stock &amp; W Capital'!$D$15))*$C213*D$172</f>
        <v>0</v>
      </c>
      <c r="E213" s="171">
        <f>((C154*(1-'5.Closing Stock &amp; W Capital'!$D$15))+(B154*'5.Closing Stock &amp; W Capital'!$D$15))*$C213*E$172</f>
        <v>0</v>
      </c>
      <c r="F213" s="171">
        <f>((D154*(1-'5.Closing Stock &amp; W Capital'!$D$15))+(C154*'5.Closing Stock &amp; W Capital'!$D$15))*$C213*F$172</f>
        <v>0</v>
      </c>
      <c r="G213" s="171">
        <f>((E154*(1-'5.Closing Stock &amp; W Capital'!$D$15))+(D154*'5.Closing Stock &amp; W Capital'!$D$15))*$C213*G$172</f>
        <v>0</v>
      </c>
      <c r="H213" s="171">
        <f>((F154*(1-'5.Closing Stock &amp; W Capital'!$D$15))+(E154*'5.Closing Stock &amp; W Capital'!$D$15))*$C213*H$172</f>
        <v>0</v>
      </c>
      <c r="I213" s="171">
        <f>((G154*(1-'5.Closing Stock &amp; W Capital'!$D$15))+(F154*'5.Closing Stock &amp; W Capital'!$D$15))*$C213*I$172</f>
        <v>0</v>
      </c>
      <c r="J213" s="171">
        <f>((H154*(1-'5.Closing Stock &amp; W Capital'!$D$15))+(G154*'5.Closing Stock &amp; W Capital'!$D$15))*$C213*J$172</f>
        <v>0</v>
      </c>
      <c r="K213" s="52"/>
      <c r="L213" s="52"/>
    </row>
    <row r="214" spans="1:12" ht="15.75" hidden="1" customHeight="1">
      <c r="A214" s="170" t="str">
        <f t="shared" si="97"/>
        <v>Okra</v>
      </c>
      <c r="B214" s="57" t="s">
        <v>579</v>
      </c>
      <c r="C214" s="59">
        <v>1500</v>
      </c>
      <c r="D214" s="171">
        <f>(B155*(1-'5.Closing Stock &amp; W Capital'!$D$15))*$C214*D$172</f>
        <v>0</v>
      </c>
      <c r="E214" s="171">
        <f>((C155*(1-'5.Closing Stock &amp; W Capital'!$D$15))+(B155*'5.Closing Stock &amp; W Capital'!$D$15))*$C214*E$172</f>
        <v>0</v>
      </c>
      <c r="F214" s="171">
        <f>((D155*(1-'5.Closing Stock &amp; W Capital'!$D$15))+(C155*'5.Closing Stock &amp; W Capital'!$D$15))*$C214*F$172</f>
        <v>0</v>
      </c>
      <c r="G214" s="171">
        <f>((E155*(1-'5.Closing Stock &amp; W Capital'!$D$15))+(D155*'5.Closing Stock &amp; W Capital'!$D$15))*$C214*G$172</f>
        <v>0</v>
      </c>
      <c r="H214" s="171">
        <f>((F155*(1-'5.Closing Stock &amp; W Capital'!$D$15))+(E155*'5.Closing Stock &amp; W Capital'!$D$15))*$C214*H$172</f>
        <v>0</v>
      </c>
      <c r="I214" s="171">
        <f>((G155*(1-'5.Closing Stock &amp; W Capital'!$D$15))+(F155*'5.Closing Stock &amp; W Capital'!$D$15))*$C214*I$172</f>
        <v>0</v>
      </c>
      <c r="J214" s="171">
        <f>((H155*(1-'5.Closing Stock &amp; W Capital'!$D$15))+(G155*'5.Closing Stock &amp; W Capital'!$D$15))*$C214*J$172</f>
        <v>0</v>
      </c>
      <c r="K214" s="52"/>
      <c r="L214" s="52"/>
    </row>
    <row r="215" spans="1:12" ht="15.75" hidden="1" customHeight="1">
      <c r="A215" s="170" t="str">
        <f t="shared" si="97"/>
        <v>Chilli</v>
      </c>
      <c r="B215" s="57" t="s">
        <v>579</v>
      </c>
      <c r="C215" s="59">
        <v>3000</v>
      </c>
      <c r="D215" s="171">
        <f>(B156*(1-'5.Closing Stock &amp; W Capital'!$D$15))*$C215*D$172</f>
        <v>0</v>
      </c>
      <c r="E215" s="171">
        <f>((C156*(1-'5.Closing Stock &amp; W Capital'!$D$15))+(B156*'5.Closing Stock &amp; W Capital'!$D$15))*$C215*E$172</f>
        <v>0</v>
      </c>
      <c r="F215" s="171">
        <f>((D156*(1-'5.Closing Stock &amp; W Capital'!$D$15))+(C156*'5.Closing Stock &amp; W Capital'!$D$15))*$C215*F$172</f>
        <v>0</v>
      </c>
      <c r="G215" s="171">
        <f>((E156*(1-'5.Closing Stock &amp; W Capital'!$D$15))+(D156*'5.Closing Stock &amp; W Capital'!$D$15))*$C215*G$172</f>
        <v>0</v>
      </c>
      <c r="H215" s="171">
        <f>((F156*(1-'5.Closing Stock &amp; W Capital'!$D$15))+(E156*'5.Closing Stock &amp; W Capital'!$D$15))*$C215*H$172</f>
        <v>0</v>
      </c>
      <c r="I215" s="171">
        <f>((G156*(1-'5.Closing Stock &amp; W Capital'!$D$15))+(F156*'5.Closing Stock &amp; W Capital'!$D$15))*$C215*I$172</f>
        <v>0</v>
      </c>
      <c r="J215" s="171">
        <f>((H156*(1-'5.Closing Stock &amp; W Capital'!$D$15))+(G156*'5.Closing Stock &amp; W Capital'!$D$15))*$C215*J$172</f>
        <v>0</v>
      </c>
      <c r="K215" s="52"/>
      <c r="L215" s="52"/>
    </row>
    <row r="216" spans="1:12" ht="15.75" hidden="1" customHeight="1">
      <c r="A216" s="170" t="str">
        <f t="shared" si="97"/>
        <v>Brinjal</v>
      </c>
      <c r="B216" s="57" t="s">
        <v>579</v>
      </c>
      <c r="C216" s="59">
        <v>2000</v>
      </c>
      <c r="D216" s="171">
        <f>(B157*(1-'5.Closing Stock &amp; W Capital'!$D$15))*$C216*D$172</f>
        <v>0</v>
      </c>
      <c r="E216" s="171">
        <f>((C157*(1-'5.Closing Stock &amp; W Capital'!$D$15))+(B157*'5.Closing Stock &amp; W Capital'!$D$15))*$C216*E$172</f>
        <v>0</v>
      </c>
      <c r="F216" s="171">
        <f>((D157*(1-'5.Closing Stock &amp; W Capital'!$D$15))+(C157*'5.Closing Stock &amp; W Capital'!$D$15))*$C216*F$172</f>
        <v>0</v>
      </c>
      <c r="G216" s="171">
        <f>((E157*(1-'5.Closing Stock &amp; W Capital'!$D$15))+(D157*'5.Closing Stock &amp; W Capital'!$D$15))*$C216*G$172</f>
        <v>0</v>
      </c>
      <c r="H216" s="171">
        <f>((F157*(1-'5.Closing Stock &amp; W Capital'!$D$15))+(E157*'5.Closing Stock &amp; W Capital'!$D$15))*$C216*H$172</f>
        <v>0</v>
      </c>
      <c r="I216" s="171">
        <f>((G157*(1-'5.Closing Stock &amp; W Capital'!$D$15))+(F157*'5.Closing Stock &amp; W Capital'!$D$15))*$C216*I$172</f>
        <v>0</v>
      </c>
      <c r="J216" s="171">
        <f>((H157*(1-'5.Closing Stock &amp; W Capital'!$D$15))+(G157*'5.Closing Stock &amp; W Capital'!$D$15))*$C216*J$172</f>
        <v>0</v>
      </c>
      <c r="K216" s="52"/>
      <c r="L216" s="52"/>
    </row>
    <row r="217" spans="1:12" ht="15.75" hidden="1" customHeight="1">
      <c r="A217" s="170">
        <f t="shared" si="97"/>
        <v>0</v>
      </c>
      <c r="B217" s="57" t="s">
        <v>579</v>
      </c>
      <c r="C217" s="59"/>
      <c r="D217" s="171">
        <f>(B158*(1-'5.Closing Stock &amp; W Capital'!$D$15))*$C217*D$172</f>
        <v>0</v>
      </c>
      <c r="E217" s="171">
        <f>((C158*(1-'5.Closing Stock &amp; W Capital'!$D$15))+(B158*'5.Closing Stock &amp; W Capital'!$D$15))*$C217*E$172</f>
        <v>0</v>
      </c>
      <c r="F217" s="171">
        <f>((D158*(1-'5.Closing Stock &amp; W Capital'!$D$15))+(C158*'5.Closing Stock &amp; W Capital'!$D$15))*$C217*F$172</f>
        <v>0</v>
      </c>
      <c r="G217" s="171">
        <f>((E158*(1-'5.Closing Stock &amp; W Capital'!$D$15))+(D158*'5.Closing Stock &amp; W Capital'!$D$15))*$C217*G$172</f>
        <v>0</v>
      </c>
      <c r="H217" s="171">
        <f>((F158*(1-'5.Closing Stock &amp; W Capital'!$D$15))+(E158*'5.Closing Stock &amp; W Capital'!$D$15))*$C217*H$172</f>
        <v>0</v>
      </c>
      <c r="I217" s="171">
        <f>((G158*(1-'5.Closing Stock &amp; W Capital'!$D$15))+(F158*'5.Closing Stock &amp; W Capital'!$D$15))*$C217*I$172</f>
        <v>0</v>
      </c>
      <c r="J217" s="171">
        <f>((H158*(1-'5.Closing Stock &amp; W Capital'!$D$15))+(G158*'5.Closing Stock &amp; W Capital'!$D$15))*$C217*J$172</f>
        <v>0</v>
      </c>
      <c r="K217" s="52"/>
      <c r="L217" s="52"/>
    </row>
    <row r="218" spans="1:12" ht="15.75" hidden="1" customHeight="1">
      <c r="A218" s="170">
        <f t="shared" si="97"/>
        <v>0</v>
      </c>
      <c r="B218" s="57" t="s">
        <v>579</v>
      </c>
      <c r="C218" s="59"/>
      <c r="D218" s="171">
        <f>(B159*(1-'5.Closing Stock &amp; W Capital'!$D$15))*$C218*D$172</f>
        <v>0</v>
      </c>
      <c r="E218" s="171">
        <f>((C159*(1-'5.Closing Stock &amp; W Capital'!$D$15))+(B159*'5.Closing Stock &amp; W Capital'!$D$15))*$C218*E$172</f>
        <v>0</v>
      </c>
      <c r="F218" s="171">
        <f>((D159*(1-'5.Closing Stock &amp; W Capital'!$D$15))+(C159*'5.Closing Stock &amp; W Capital'!$D$15))*$C218*F$172</f>
        <v>0</v>
      </c>
      <c r="G218" s="171">
        <f>((E159*(1-'5.Closing Stock &amp; W Capital'!$D$15))+(D159*'5.Closing Stock &amp; W Capital'!$D$15))*$C218*G$172</f>
        <v>0</v>
      </c>
      <c r="H218" s="171">
        <f>((F159*(1-'5.Closing Stock &amp; W Capital'!$D$15))+(E159*'5.Closing Stock &amp; W Capital'!$D$15))*$C218*H$172</f>
        <v>0</v>
      </c>
      <c r="I218" s="171">
        <f>((G159*(1-'5.Closing Stock &amp; W Capital'!$D$15))+(F159*'5.Closing Stock &amp; W Capital'!$D$15))*$C218*I$172</f>
        <v>0</v>
      </c>
      <c r="J218" s="171">
        <f>((H159*(1-'5.Closing Stock &amp; W Capital'!$D$15))+(G159*'5.Closing Stock &amp; W Capital'!$D$15))*$C218*J$172</f>
        <v>0</v>
      </c>
      <c r="K218" s="52"/>
      <c r="L218" s="52"/>
    </row>
    <row r="219" spans="1:12" ht="15.75" hidden="1" customHeight="1">
      <c r="A219" s="170">
        <f t="shared" si="97"/>
        <v>0</v>
      </c>
      <c r="B219" s="57" t="s">
        <v>579</v>
      </c>
      <c r="C219" s="59"/>
      <c r="D219" s="171">
        <f>(B160*(1-'5.Closing Stock &amp; W Capital'!$D$15))*$C219*D$172</f>
        <v>0</v>
      </c>
      <c r="E219" s="171">
        <f>((C160*(1-'5.Closing Stock &amp; W Capital'!$D$15))+(B160*'5.Closing Stock &amp; W Capital'!$D$15))*$C219*E$172</f>
        <v>0</v>
      </c>
      <c r="F219" s="171">
        <f>((D160*(1-'5.Closing Stock &amp; W Capital'!$D$15))+(C160*'5.Closing Stock &amp; W Capital'!$D$15))*$C219*F$172</f>
        <v>0</v>
      </c>
      <c r="G219" s="171">
        <f>((E160*(1-'5.Closing Stock &amp; W Capital'!$D$15))+(D160*'5.Closing Stock &amp; W Capital'!$D$15))*$C219*G$172</f>
        <v>0</v>
      </c>
      <c r="H219" s="171">
        <f>((F160*(1-'5.Closing Stock &amp; W Capital'!$D$15))+(E160*'5.Closing Stock &amp; W Capital'!$D$15))*$C219*H$172</f>
        <v>0</v>
      </c>
      <c r="I219" s="171">
        <f>((G160*(1-'5.Closing Stock &amp; W Capital'!$D$15))+(F160*'5.Closing Stock &amp; W Capital'!$D$15))*$C219*I$172</f>
        <v>0</v>
      </c>
      <c r="J219" s="171">
        <f>((H160*(1-'5.Closing Stock &amp; W Capital'!$D$15))+(G160*'5.Closing Stock &amp; W Capital'!$D$15))*$C219*J$172</f>
        <v>0</v>
      </c>
      <c r="K219" s="52"/>
      <c r="L219" s="52"/>
    </row>
    <row r="220" spans="1:12" ht="15.75" hidden="1" customHeight="1">
      <c r="A220" s="170">
        <f t="shared" si="97"/>
        <v>0</v>
      </c>
      <c r="B220" s="57" t="s">
        <v>579</v>
      </c>
      <c r="C220" s="59"/>
      <c r="D220" s="171">
        <f>(B161*(1-'5.Closing Stock &amp; W Capital'!$D$15))*$C220*D$172</f>
        <v>0</v>
      </c>
      <c r="E220" s="171">
        <f>((C161*(1-'5.Closing Stock &amp; W Capital'!$D$15))+(B161*'5.Closing Stock &amp; W Capital'!$D$15))*$C220*E$172</f>
        <v>0</v>
      </c>
      <c r="F220" s="171">
        <f>((D161*(1-'5.Closing Stock &amp; W Capital'!$D$15))+(C161*'5.Closing Stock &amp; W Capital'!$D$15))*$C220*F$172</f>
        <v>0</v>
      </c>
      <c r="G220" s="171">
        <f>((E161*(1-'5.Closing Stock &amp; W Capital'!$D$15))+(D161*'5.Closing Stock &amp; W Capital'!$D$15))*$C220*G$172</f>
        <v>0</v>
      </c>
      <c r="H220" s="171">
        <f>((F161*(1-'5.Closing Stock &amp; W Capital'!$D$15))+(E161*'5.Closing Stock &amp; W Capital'!$D$15))*$C220*H$172</f>
        <v>0</v>
      </c>
      <c r="I220" s="171">
        <f>((G161*(1-'5.Closing Stock &amp; W Capital'!$D$15))+(F161*'5.Closing Stock &amp; W Capital'!$D$15))*$C220*I$172</f>
        <v>0</v>
      </c>
      <c r="J220" s="171">
        <f>((H161*(1-'5.Closing Stock &amp; W Capital'!$D$15))+(G161*'5.Closing Stock &amp; W Capital'!$D$15))*$C220*J$172</f>
        <v>0</v>
      </c>
      <c r="K220" s="52"/>
      <c r="L220" s="52"/>
    </row>
    <row r="221" spans="1:12" ht="15.75" hidden="1" customHeight="1">
      <c r="A221" s="170">
        <f t="shared" si="97"/>
        <v>0</v>
      </c>
      <c r="B221" s="57" t="s">
        <v>579</v>
      </c>
      <c r="C221" s="59"/>
      <c r="D221" s="171">
        <f>(B162*(1-'5.Closing Stock &amp; W Capital'!$D$15))*$C221*D$172</f>
        <v>0</v>
      </c>
      <c r="E221" s="171">
        <f>((C162*(1-'5.Closing Stock &amp; W Capital'!$D$15))+(B162*'5.Closing Stock &amp; W Capital'!$D$15))*$C221*E$172</f>
        <v>0</v>
      </c>
      <c r="F221" s="171">
        <f>((D162*(1-'5.Closing Stock &amp; W Capital'!$D$15))+(C162*'5.Closing Stock &amp; W Capital'!$D$15))*$C221*F$172</f>
        <v>0</v>
      </c>
      <c r="G221" s="171">
        <f>((E162*(1-'5.Closing Stock &amp; W Capital'!$D$15))+(D162*'5.Closing Stock &amp; W Capital'!$D$15))*$C221*G$172</f>
        <v>0</v>
      </c>
      <c r="H221" s="171">
        <f>((F162*(1-'5.Closing Stock &amp; W Capital'!$D$15))+(E162*'5.Closing Stock &amp; W Capital'!$D$15))*$C221*H$172</f>
        <v>0</v>
      </c>
      <c r="I221" s="171">
        <f>((G162*(1-'5.Closing Stock &amp; W Capital'!$D$15))+(F162*'5.Closing Stock &amp; W Capital'!$D$15))*$C221*I$172</f>
        <v>0</v>
      </c>
      <c r="J221" s="171">
        <f>((H162*(1-'5.Closing Stock &amp; W Capital'!$D$15))+(G162*'5.Closing Stock &amp; W Capital'!$D$15))*$C221*J$172</f>
        <v>0</v>
      </c>
      <c r="K221" s="52"/>
      <c r="L221" s="52"/>
    </row>
    <row r="222" spans="1:12" ht="15.75" hidden="1" customHeight="1">
      <c r="A222" s="170">
        <f t="shared" si="97"/>
        <v>0</v>
      </c>
      <c r="B222" s="57" t="s">
        <v>579</v>
      </c>
      <c r="C222" s="59"/>
      <c r="D222" s="171">
        <f>(B163*(1-'5.Closing Stock &amp; W Capital'!$D$15))*$C222*D$172</f>
        <v>0</v>
      </c>
      <c r="E222" s="171">
        <f>((C163*(1-'5.Closing Stock &amp; W Capital'!$D$15))+(B163*'5.Closing Stock &amp; W Capital'!$D$15))*$C222*E$172</f>
        <v>0</v>
      </c>
      <c r="F222" s="171">
        <f>((D163*(1-'5.Closing Stock &amp; W Capital'!$D$15))+(C163*'5.Closing Stock &amp; W Capital'!$D$15))*$C222*F$172</f>
        <v>0</v>
      </c>
      <c r="G222" s="171">
        <f>((E163*(1-'5.Closing Stock &amp; W Capital'!$D$15))+(D163*'5.Closing Stock &amp; W Capital'!$D$15))*$C222*G$172</f>
        <v>0</v>
      </c>
      <c r="H222" s="171">
        <f>((F163*(1-'5.Closing Stock &amp; W Capital'!$D$15))+(E163*'5.Closing Stock &amp; W Capital'!$D$15))*$C222*H$172</f>
        <v>0</v>
      </c>
      <c r="I222" s="171">
        <f>((G163*(1-'5.Closing Stock &amp; W Capital'!$D$15))+(F163*'5.Closing Stock &amp; W Capital'!$D$15))*$C222*I$172</f>
        <v>0</v>
      </c>
      <c r="J222" s="171">
        <f>((H163*(1-'5.Closing Stock &amp; W Capital'!$D$15))+(G163*'5.Closing Stock &amp; W Capital'!$D$15))*$C222*J$172</f>
        <v>0</v>
      </c>
      <c r="K222" s="52"/>
      <c r="L222" s="52"/>
    </row>
    <row r="223" spans="1:12" ht="15.75" hidden="1" customHeight="1">
      <c r="A223" s="170">
        <f t="shared" si="97"/>
        <v>0</v>
      </c>
      <c r="B223" s="57" t="s">
        <v>579</v>
      </c>
      <c r="C223" s="59"/>
      <c r="D223" s="171">
        <f>(B164*(1-'5.Closing Stock &amp; W Capital'!$D$15))*$C223*D$172</f>
        <v>0</v>
      </c>
      <c r="E223" s="171">
        <f>((C164*(1-'5.Closing Stock &amp; W Capital'!$D$15))+(B164*'5.Closing Stock &amp; W Capital'!$D$15))*$C223*E$172</f>
        <v>0</v>
      </c>
      <c r="F223" s="171">
        <f>((D164*(1-'5.Closing Stock &amp; W Capital'!$D$15))+(C164*'5.Closing Stock &amp; W Capital'!$D$15))*$C223*F$172</f>
        <v>0</v>
      </c>
      <c r="G223" s="171">
        <f>((E164*(1-'5.Closing Stock &amp; W Capital'!$D$15))+(D164*'5.Closing Stock &amp; W Capital'!$D$15))*$C223*G$172</f>
        <v>0</v>
      </c>
      <c r="H223" s="171">
        <f>((F164*(1-'5.Closing Stock &amp; W Capital'!$D$15))+(E164*'5.Closing Stock &amp; W Capital'!$D$15))*$C223*H$172</f>
        <v>0</v>
      </c>
      <c r="I223" s="171">
        <f>((G164*(1-'5.Closing Stock &amp; W Capital'!$D$15))+(F164*'5.Closing Stock &amp; W Capital'!$D$15))*$C223*I$172</f>
        <v>0</v>
      </c>
      <c r="J223" s="171">
        <f>((H164*(1-'5.Closing Stock &amp; W Capital'!$D$15))+(G164*'5.Closing Stock &amp; W Capital'!$D$15))*$C223*J$172</f>
        <v>0</v>
      </c>
      <c r="K223" s="52"/>
      <c r="L223" s="52"/>
    </row>
    <row r="224" spans="1:12" ht="15.75" hidden="1" customHeight="1">
      <c r="A224" s="170" t="str">
        <f t="shared" si="97"/>
        <v>Pomegranate</v>
      </c>
      <c r="B224" s="57" t="s">
        <v>579</v>
      </c>
      <c r="C224" s="59">
        <v>5000</v>
      </c>
      <c r="D224" s="171">
        <f>(B165*(1-'5.Closing Stock &amp; W Capital'!$D$15))*$C224*D$172</f>
        <v>0</v>
      </c>
      <c r="E224" s="171">
        <f>((C165*(1-'5.Closing Stock &amp; W Capital'!$D$15))+(B165*'5.Closing Stock &amp; W Capital'!$D$15))*$C224*E$172</f>
        <v>0</v>
      </c>
      <c r="F224" s="171">
        <f>((D165*(1-'5.Closing Stock &amp; W Capital'!$D$15))+(C165*'5.Closing Stock &amp; W Capital'!$D$15))*$C224*F$172</f>
        <v>0</v>
      </c>
      <c r="G224" s="171">
        <f>((E165*(1-'5.Closing Stock &amp; W Capital'!$D$15))+(D165*'5.Closing Stock &amp; W Capital'!$D$15))*$C224*G$172</f>
        <v>0</v>
      </c>
      <c r="H224" s="171">
        <f>((F165*(1-'5.Closing Stock &amp; W Capital'!$D$15))+(E165*'5.Closing Stock &amp; W Capital'!$D$15))*$C224*H$172</f>
        <v>0</v>
      </c>
      <c r="I224" s="171">
        <f>((G165*(1-'5.Closing Stock &amp; W Capital'!$D$15))+(F165*'5.Closing Stock &amp; W Capital'!$D$15))*$C224*I$172</f>
        <v>0</v>
      </c>
      <c r="J224" s="171">
        <f>((H165*(1-'5.Closing Stock &amp; W Capital'!$D$15))+(G165*'5.Closing Stock &amp; W Capital'!$D$15))*$C224*J$172</f>
        <v>0</v>
      </c>
      <c r="K224" s="52"/>
      <c r="L224" s="52"/>
    </row>
    <row r="225" spans="1:13" ht="15.75" hidden="1" customHeight="1">
      <c r="A225" s="170" t="str">
        <f t="shared" si="97"/>
        <v>Custard Apple</v>
      </c>
      <c r="B225" s="57" t="s">
        <v>579</v>
      </c>
      <c r="C225" s="59"/>
      <c r="D225" s="171">
        <f>(B166*(1-'5.Closing Stock &amp; W Capital'!$D$15))*$C225*D$172</f>
        <v>0</v>
      </c>
      <c r="E225" s="171">
        <f>((C166*(1-'5.Closing Stock &amp; W Capital'!$D$15))+(B166*'5.Closing Stock &amp; W Capital'!$D$15))*$C225*E$172</f>
        <v>0</v>
      </c>
      <c r="F225" s="171">
        <f>((D166*(1-'5.Closing Stock &amp; W Capital'!$D$15))+(C166*'5.Closing Stock &amp; W Capital'!$D$15))*$C225*F$172</f>
        <v>0</v>
      </c>
      <c r="G225" s="171">
        <f>((E166*(1-'5.Closing Stock &amp; W Capital'!$D$15))+(D166*'5.Closing Stock &amp; W Capital'!$D$15))*$C225*G$172</f>
        <v>0</v>
      </c>
      <c r="H225" s="171">
        <f>((F166*(1-'5.Closing Stock &amp; W Capital'!$D$15))+(E166*'5.Closing Stock &amp; W Capital'!$D$15))*$C225*H$172</f>
        <v>0</v>
      </c>
      <c r="I225" s="171">
        <f>((G166*(1-'5.Closing Stock &amp; W Capital'!$D$15))+(F166*'5.Closing Stock &amp; W Capital'!$D$15))*$C225*I$172</f>
        <v>0</v>
      </c>
      <c r="J225" s="171">
        <f>((H166*(1-'5.Closing Stock &amp; W Capital'!$D$15))+(G166*'5.Closing Stock &amp; W Capital'!$D$15))*$C225*J$172</f>
        <v>0</v>
      </c>
      <c r="K225" s="52"/>
      <c r="L225" s="52"/>
    </row>
    <row r="226" spans="1:13" ht="15.75" hidden="1" customHeight="1">
      <c r="A226" s="170" t="str">
        <f t="shared" si="97"/>
        <v>Guava</v>
      </c>
      <c r="B226" s="57" t="s">
        <v>579</v>
      </c>
      <c r="C226" s="59"/>
      <c r="D226" s="171">
        <f>(B167*(1-'5.Closing Stock &amp; W Capital'!$D$15))*$C226*D$172</f>
        <v>0</v>
      </c>
      <c r="E226" s="171">
        <f>((C167*(1-'5.Closing Stock &amp; W Capital'!$D$15))+(B167*'5.Closing Stock &amp; W Capital'!$D$15))*$C226*E$172</f>
        <v>0</v>
      </c>
      <c r="F226" s="171">
        <f>((D167*(1-'5.Closing Stock &amp; W Capital'!$D$15))+(C167*'5.Closing Stock &amp; W Capital'!$D$15))*$C226*F$172</f>
        <v>0</v>
      </c>
      <c r="G226" s="171">
        <f>((E167*(1-'5.Closing Stock &amp; W Capital'!$D$15))+(D167*'5.Closing Stock &amp; W Capital'!$D$15))*$C226*G$172</f>
        <v>0</v>
      </c>
      <c r="H226" s="171">
        <f>((F167*(1-'5.Closing Stock &amp; W Capital'!$D$15))+(E167*'5.Closing Stock &amp; W Capital'!$D$15))*$C226*H$172</f>
        <v>0</v>
      </c>
      <c r="I226" s="171">
        <f>((G167*(1-'5.Closing Stock &amp; W Capital'!$D$15))+(F167*'5.Closing Stock &amp; W Capital'!$D$15))*$C226*I$172</f>
        <v>0</v>
      </c>
      <c r="J226" s="171">
        <f>((H167*(1-'5.Closing Stock &amp; W Capital'!$D$15))+(G167*'5.Closing Stock &amp; W Capital'!$D$15))*$C226*J$172</f>
        <v>0</v>
      </c>
      <c r="K226" s="52"/>
      <c r="L226" s="52"/>
    </row>
    <row r="227" spans="1:13" ht="15.75" hidden="1" customHeight="1">
      <c r="A227" s="170" t="str">
        <f t="shared" si="97"/>
        <v>Citrus</v>
      </c>
      <c r="B227" s="57" t="s">
        <v>579</v>
      </c>
      <c r="C227" s="59"/>
      <c r="D227" s="171">
        <f>(B168*(1-'5.Closing Stock &amp; W Capital'!$D$15))*$C227*D$172</f>
        <v>0</v>
      </c>
      <c r="E227" s="171">
        <f>((C168*(1-'5.Closing Stock &amp; W Capital'!$D$15))+(B168*'5.Closing Stock &amp; W Capital'!$D$15))*$C227*E$172</f>
        <v>0</v>
      </c>
      <c r="F227" s="171">
        <f>((D168*(1-'5.Closing Stock &amp; W Capital'!$D$15))+(C168*'5.Closing Stock &amp; W Capital'!$D$15))*$C227*F$172</f>
        <v>0</v>
      </c>
      <c r="G227" s="171">
        <f>((E168*(1-'5.Closing Stock &amp; W Capital'!$D$15))+(D168*'5.Closing Stock &amp; W Capital'!$D$15))*$C227*G$172</f>
        <v>0</v>
      </c>
      <c r="H227" s="171">
        <f>((F168*(1-'5.Closing Stock &amp; W Capital'!$D$15))+(E168*'5.Closing Stock &amp; W Capital'!$D$15))*$C227*H$172</f>
        <v>0</v>
      </c>
      <c r="I227" s="171">
        <f>((G168*(1-'5.Closing Stock &amp; W Capital'!$D$15))+(F168*'5.Closing Stock &amp; W Capital'!$D$15))*$C227*I$172</f>
        <v>0</v>
      </c>
      <c r="J227" s="171">
        <f>((H168*(1-'5.Closing Stock &amp; W Capital'!$D$15))+(G168*'5.Closing Stock &amp; W Capital'!$D$15))*$C227*J$172</f>
        <v>0</v>
      </c>
      <c r="K227" s="52"/>
      <c r="L227" s="52"/>
    </row>
    <row r="228" spans="1:13" ht="15.75" customHeight="1">
      <c r="A228" s="60"/>
      <c r="B228" s="60"/>
      <c r="C228" s="57"/>
      <c r="D228" s="57"/>
      <c r="E228" s="57"/>
      <c r="F228" s="57"/>
      <c r="G228" s="57"/>
      <c r="H228" s="57"/>
      <c r="I228" s="57"/>
      <c r="J228" s="57"/>
      <c r="K228" s="52"/>
      <c r="L228" s="52"/>
    </row>
    <row r="229" spans="1:13" ht="15.75" customHeight="1">
      <c r="A229" s="60" t="s">
        <v>351</v>
      </c>
      <c r="B229" s="60"/>
      <c r="C229" s="60"/>
      <c r="D229" s="170">
        <f t="shared" ref="D229:J229" si="98">SUM(D178:D228)</f>
        <v>180972022.21432498</v>
      </c>
      <c r="E229" s="170">
        <f t="shared" si="98"/>
        <v>206807527.53978613</v>
      </c>
      <c r="F229" s="170">
        <f t="shared" si="98"/>
        <v>230066725.77829984</v>
      </c>
      <c r="G229" s="170">
        <f t="shared" si="98"/>
        <v>254064545.11984849</v>
      </c>
      <c r="H229" s="170">
        <f t="shared" si="98"/>
        <v>278800985.56443214</v>
      </c>
      <c r="I229" s="170">
        <f t="shared" si="98"/>
        <v>304276047.11205089</v>
      </c>
      <c r="J229" s="170">
        <f t="shared" si="98"/>
        <v>330489729.76270461</v>
      </c>
      <c r="K229" s="52"/>
      <c r="L229" s="52"/>
    </row>
    <row r="230" spans="1:13" ht="15.75" customHeight="1">
      <c r="A230" s="57"/>
      <c r="B230" s="57"/>
      <c r="C230" s="57"/>
      <c r="D230" s="57"/>
      <c r="E230" s="57"/>
      <c r="F230" s="57"/>
      <c r="G230" s="57"/>
      <c r="H230" s="57"/>
      <c r="I230" s="57"/>
      <c r="J230" s="57"/>
      <c r="K230" s="52"/>
      <c r="L230" s="52"/>
    </row>
    <row r="231" spans="1:13" ht="15.75" customHeight="1">
      <c r="A231" s="60" t="s">
        <v>581</v>
      </c>
      <c r="B231" s="60"/>
      <c r="C231" s="60"/>
      <c r="D231" s="57"/>
      <c r="E231" s="57"/>
      <c r="F231" s="57"/>
      <c r="G231" s="57"/>
      <c r="H231" s="57"/>
      <c r="I231" s="57"/>
      <c r="J231" s="57"/>
      <c r="K231" s="52"/>
      <c r="L231" s="52"/>
    </row>
    <row r="232" spans="1:13" ht="15.75" customHeight="1">
      <c r="A232" s="60" t="s">
        <v>352</v>
      </c>
      <c r="B232" s="60"/>
      <c r="C232" s="57"/>
      <c r="D232" s="57"/>
      <c r="E232" s="57"/>
      <c r="F232" s="57"/>
      <c r="G232" s="57"/>
      <c r="H232" s="57"/>
      <c r="I232" s="57"/>
      <c r="J232" s="57"/>
      <c r="K232" s="52"/>
      <c r="L232" s="52"/>
    </row>
    <row r="233" spans="1:13" ht="15.75" customHeight="1">
      <c r="A233" s="171" t="str">
        <f t="shared" ref="A233:A254" si="99">A178</f>
        <v>Soybean</v>
      </c>
      <c r="B233" s="57" t="s">
        <v>579</v>
      </c>
      <c r="C233" s="59">
        <v>6500</v>
      </c>
      <c r="D233" s="59">
        <f>B68*$C$233*D$172</f>
        <v>93958312.5</v>
      </c>
      <c r="E233" s="59">
        <f t="shared" ref="E233:J233" si="100">C68*$C$233*E$173</f>
        <v>105679611.984375</v>
      </c>
      <c r="F233" s="59">
        <f t="shared" si="100"/>
        <v>117541848.93750001</v>
      </c>
      <c r="G233" s="59">
        <f t="shared" si="100"/>
        <v>129779919.14062504</v>
      </c>
      <c r="H233" s="59">
        <f t="shared" si="100"/>
        <v>142393822.59375003</v>
      </c>
      <c r="I233" s="59">
        <f t="shared" si="100"/>
        <v>155383559.29687506</v>
      </c>
      <c r="J233" s="59">
        <f t="shared" si="100"/>
        <v>168749129.25000009</v>
      </c>
      <c r="K233" s="175">
        <f>+D233/C233</f>
        <v>14455.125</v>
      </c>
      <c r="L233" s="52">
        <v>13741</v>
      </c>
      <c r="M233">
        <f>+C233*L233</f>
        <v>89316500</v>
      </c>
    </row>
    <row r="234" spans="1:13" ht="15.75" customHeight="1">
      <c r="A234" s="171" t="str">
        <f t="shared" si="99"/>
        <v>Red Gram/Tur</v>
      </c>
      <c r="B234" s="57" t="s">
        <v>579</v>
      </c>
      <c r="C234" s="59">
        <v>6500</v>
      </c>
      <c r="D234" s="59">
        <f>B69*$C$234*D$172</f>
        <v>23802772.5</v>
      </c>
      <c r="E234" s="59">
        <f t="shared" ref="E234:J234" si="101">C69*$C$234*E173</f>
        <v>26772168.369374998</v>
      </c>
      <c r="F234" s="59">
        <f t="shared" si="101"/>
        <v>29777268.397500008</v>
      </c>
      <c r="G234" s="59">
        <f t="shared" si="101"/>
        <v>32877579.515625</v>
      </c>
      <c r="H234" s="59">
        <f t="shared" si="101"/>
        <v>36073101.72375001</v>
      </c>
      <c r="I234" s="59">
        <f t="shared" si="101"/>
        <v>39363835.021875016</v>
      </c>
      <c r="J234" s="59">
        <f t="shared" si="101"/>
        <v>42749779.410000019</v>
      </c>
      <c r="K234" s="175">
        <f t="shared" ref="K234:K243" si="102">+D234/C234</f>
        <v>3661.9650000000001</v>
      </c>
      <c r="L234" s="52">
        <v>3481</v>
      </c>
      <c r="M234">
        <f t="shared" ref="M234:M243" si="103">+C234*L234</f>
        <v>22626500</v>
      </c>
    </row>
    <row r="235" spans="1:13" ht="15.75" hidden="1" customHeight="1">
      <c r="A235" s="171" t="str">
        <f t="shared" si="99"/>
        <v>Paddy/Rice</v>
      </c>
      <c r="B235" s="57" t="s">
        <v>579</v>
      </c>
      <c r="C235" s="59"/>
      <c r="D235" s="59">
        <f>B70*$C$235*D$172</f>
        <v>0</v>
      </c>
      <c r="E235" s="59">
        <f t="shared" ref="E235:J235" si="104">C70*$C$235*E172</f>
        <v>0</v>
      </c>
      <c r="F235" s="59">
        <f t="shared" si="104"/>
        <v>0</v>
      </c>
      <c r="G235" s="59">
        <f t="shared" si="104"/>
        <v>0</v>
      </c>
      <c r="H235" s="59">
        <f t="shared" si="104"/>
        <v>0</v>
      </c>
      <c r="I235" s="59">
        <f t="shared" si="104"/>
        <v>0</v>
      </c>
      <c r="J235" s="59">
        <f t="shared" si="104"/>
        <v>0</v>
      </c>
      <c r="K235" s="175" t="e">
        <f t="shared" si="102"/>
        <v>#DIV/0!</v>
      </c>
      <c r="L235" s="52"/>
      <c r="M235">
        <f t="shared" si="103"/>
        <v>0</v>
      </c>
    </row>
    <row r="236" spans="1:13" ht="15.75" customHeight="1">
      <c r="A236" s="171" t="str">
        <f t="shared" si="99"/>
        <v>Green Gram/ Moong</v>
      </c>
      <c r="B236" s="57" t="s">
        <v>579</v>
      </c>
      <c r="C236" s="59">
        <v>6500</v>
      </c>
      <c r="D236" s="59">
        <f>B71*$C$236*D$172</f>
        <v>15346524.374999998</v>
      </c>
      <c r="E236" s="59">
        <f t="shared" ref="E236:J236" si="105">C71*$C$236*E$173</f>
        <v>17261003.290781248</v>
      </c>
      <c r="F236" s="59">
        <f t="shared" si="105"/>
        <v>19198501.993124999</v>
      </c>
      <c r="G236" s="59">
        <f t="shared" si="105"/>
        <v>21197386.79296875</v>
      </c>
      <c r="H236" s="59">
        <f t="shared" si="105"/>
        <v>23257657.690312501</v>
      </c>
      <c r="I236" s="59">
        <f t="shared" si="105"/>
        <v>25379314.685156256</v>
      </c>
      <c r="J236" s="59">
        <f t="shared" si="105"/>
        <v>27562357.777500007</v>
      </c>
      <c r="K236" s="175">
        <f t="shared" si="102"/>
        <v>2361.0037499999999</v>
      </c>
      <c r="L236" s="52">
        <v>2244</v>
      </c>
      <c r="M236">
        <f t="shared" si="103"/>
        <v>14586000</v>
      </c>
    </row>
    <row r="237" spans="1:13" ht="15.75" hidden="1" customHeight="1">
      <c r="A237" s="171" t="str">
        <f t="shared" si="99"/>
        <v>Maize</v>
      </c>
      <c r="B237" s="57" t="s">
        <v>579</v>
      </c>
      <c r="C237" s="59"/>
      <c r="D237" s="59">
        <f t="shared" ref="D237:J237" si="106">B72*$C$237*D$172</f>
        <v>0</v>
      </c>
      <c r="E237" s="59">
        <f t="shared" si="106"/>
        <v>0</v>
      </c>
      <c r="F237" s="59">
        <f t="shared" si="106"/>
        <v>0</v>
      </c>
      <c r="G237" s="59">
        <f t="shared" si="106"/>
        <v>0</v>
      </c>
      <c r="H237" s="59">
        <f t="shared" si="106"/>
        <v>0</v>
      </c>
      <c r="I237" s="59">
        <f t="shared" si="106"/>
        <v>0</v>
      </c>
      <c r="J237" s="59">
        <f t="shared" si="106"/>
        <v>0</v>
      </c>
      <c r="K237" s="175" t="e">
        <f t="shared" si="102"/>
        <v>#DIV/0!</v>
      </c>
      <c r="L237" s="52"/>
      <c r="M237">
        <f t="shared" si="103"/>
        <v>0</v>
      </c>
    </row>
    <row r="238" spans="1:13" ht="15.75" customHeight="1">
      <c r="A238" s="171" t="str">
        <f t="shared" si="99"/>
        <v>Black Gram/Udid</v>
      </c>
      <c r="B238" s="57" t="s">
        <v>579</v>
      </c>
      <c r="C238" s="59">
        <v>7000</v>
      </c>
      <c r="D238" s="59">
        <f>B73*$C$238*D$172</f>
        <v>10118587.499999998</v>
      </c>
      <c r="E238" s="59">
        <f t="shared" ref="E238:J238" si="107">C73*$C$238*E$173</f>
        <v>11380881.290625</v>
      </c>
      <c r="F238" s="59">
        <f t="shared" si="107"/>
        <v>12658352.962500002</v>
      </c>
      <c r="G238" s="59">
        <f t="shared" si="107"/>
        <v>13976298.984375002</v>
      </c>
      <c r="H238" s="59">
        <f t="shared" si="107"/>
        <v>15334719.356250003</v>
      </c>
      <c r="I238" s="59">
        <f t="shared" si="107"/>
        <v>16733614.078125002</v>
      </c>
      <c r="J238" s="59">
        <f t="shared" si="107"/>
        <v>18172983.150000006</v>
      </c>
      <c r="K238" s="175">
        <f t="shared" si="102"/>
        <v>1445.5124999999998</v>
      </c>
      <c r="L238" s="52">
        <v>1374</v>
      </c>
      <c r="M238">
        <f t="shared" si="103"/>
        <v>9618000</v>
      </c>
    </row>
    <row r="239" spans="1:13" ht="15.75" hidden="1" customHeight="1">
      <c r="A239" s="171" t="str">
        <f t="shared" si="99"/>
        <v>Bajra</v>
      </c>
      <c r="B239" s="57" t="s">
        <v>579</v>
      </c>
      <c r="C239" s="59">
        <v>1800</v>
      </c>
      <c r="D239" s="59">
        <f t="shared" ref="D239:J239" si="108">B74*$C$239*D$172</f>
        <v>0</v>
      </c>
      <c r="E239" s="59">
        <f t="shared" si="108"/>
        <v>0</v>
      </c>
      <c r="F239" s="59">
        <f t="shared" si="108"/>
        <v>0</v>
      </c>
      <c r="G239" s="59">
        <f t="shared" si="108"/>
        <v>0</v>
      </c>
      <c r="H239" s="59">
        <f t="shared" si="108"/>
        <v>0</v>
      </c>
      <c r="I239" s="59">
        <f t="shared" si="108"/>
        <v>0</v>
      </c>
      <c r="J239" s="59">
        <f t="shared" si="108"/>
        <v>0</v>
      </c>
      <c r="K239" s="175">
        <f t="shared" si="102"/>
        <v>0</v>
      </c>
      <c r="L239" s="52"/>
      <c r="M239">
        <f t="shared" si="103"/>
        <v>0</v>
      </c>
    </row>
    <row r="240" spans="1:13" ht="15.75" hidden="1" customHeight="1">
      <c r="A240" s="171" t="str">
        <f t="shared" si="99"/>
        <v>Jawar</v>
      </c>
      <c r="B240" s="57" t="s">
        <v>579</v>
      </c>
      <c r="C240" s="59"/>
      <c r="D240" s="59">
        <f t="shared" ref="D240:J240" si="109">B75*$C$240*D$172</f>
        <v>0</v>
      </c>
      <c r="E240" s="59">
        <f t="shared" si="109"/>
        <v>0</v>
      </c>
      <c r="F240" s="59">
        <f t="shared" si="109"/>
        <v>0</v>
      </c>
      <c r="G240" s="59">
        <f t="shared" si="109"/>
        <v>0</v>
      </c>
      <c r="H240" s="59">
        <f t="shared" si="109"/>
        <v>0</v>
      </c>
      <c r="I240" s="59">
        <f t="shared" si="109"/>
        <v>0</v>
      </c>
      <c r="J240" s="59">
        <f t="shared" si="109"/>
        <v>0</v>
      </c>
      <c r="K240" s="175" t="e">
        <f t="shared" si="102"/>
        <v>#DIV/0!</v>
      </c>
      <c r="L240" s="52"/>
      <c r="M240">
        <f t="shared" si="103"/>
        <v>0</v>
      </c>
    </row>
    <row r="241" spans="1:13" ht="15.75" hidden="1" customHeight="1">
      <c r="A241" s="171" t="str">
        <f t="shared" si="99"/>
        <v>Sunflower</v>
      </c>
      <c r="B241" s="57" t="s">
        <v>579</v>
      </c>
      <c r="C241" s="59"/>
      <c r="D241" s="59">
        <f t="shared" ref="D241:J241" si="110">B76*$C$241*D$172</f>
        <v>0</v>
      </c>
      <c r="E241" s="59">
        <f t="shared" si="110"/>
        <v>0</v>
      </c>
      <c r="F241" s="59">
        <f t="shared" si="110"/>
        <v>0</v>
      </c>
      <c r="G241" s="59">
        <f t="shared" si="110"/>
        <v>0</v>
      </c>
      <c r="H241" s="59">
        <f t="shared" si="110"/>
        <v>0</v>
      </c>
      <c r="I241" s="59">
        <f t="shared" si="110"/>
        <v>0</v>
      </c>
      <c r="J241" s="59">
        <f t="shared" si="110"/>
        <v>0</v>
      </c>
      <c r="K241" s="175" t="e">
        <f t="shared" si="102"/>
        <v>#DIV/0!</v>
      </c>
      <c r="L241" s="52"/>
      <c r="M241">
        <f t="shared" si="103"/>
        <v>0</v>
      </c>
    </row>
    <row r="242" spans="1:13" ht="15.75" customHeight="1">
      <c r="A242" s="171" t="str">
        <f t="shared" si="99"/>
        <v>Wheat</v>
      </c>
      <c r="B242" s="57" t="s">
        <v>579</v>
      </c>
      <c r="C242" s="59">
        <v>2100</v>
      </c>
      <c r="D242" s="59">
        <f>B77*$C$242*D$172</f>
        <v>3278422.3499999992</v>
      </c>
      <c r="E242" s="59">
        <f t="shared" ref="E242:J242" si="111">C77*$C$242*E$173</f>
        <v>3687405.5381624992</v>
      </c>
      <c r="F242" s="59">
        <f t="shared" si="111"/>
        <v>4101306.3598499992</v>
      </c>
      <c r="G242" s="59">
        <f t="shared" si="111"/>
        <v>4528320.8709375001</v>
      </c>
      <c r="H242" s="59">
        <f t="shared" si="111"/>
        <v>4968449.0714250002</v>
      </c>
      <c r="I242" s="59">
        <f t="shared" si="111"/>
        <v>5421690.9613125008</v>
      </c>
      <c r="J242" s="59">
        <f t="shared" si="111"/>
        <v>5888046.5405999999</v>
      </c>
      <c r="K242" s="175">
        <f t="shared" si="102"/>
        <v>1561.1534999999997</v>
      </c>
      <c r="L242" s="52">
        <v>1484</v>
      </c>
      <c r="M242">
        <f t="shared" si="103"/>
        <v>3116400</v>
      </c>
    </row>
    <row r="243" spans="1:13" ht="15.75" customHeight="1">
      <c r="A243" s="171" t="str">
        <f t="shared" si="99"/>
        <v>Bengal Gram/Channa</v>
      </c>
      <c r="B243" s="57" t="s">
        <v>579</v>
      </c>
      <c r="C243" s="59">
        <v>5500</v>
      </c>
      <c r="D243" s="59">
        <f>B78*$C$243*D$172</f>
        <v>33391338.749999996</v>
      </c>
      <c r="E243" s="59">
        <f t="shared" ref="E243:J243" si="112">C78*$C$243*E$173</f>
        <v>37556908.259062499</v>
      </c>
      <c r="F243" s="59">
        <f t="shared" si="112"/>
        <v>41772564.776250005</v>
      </c>
      <c r="G243" s="59">
        <f t="shared" si="112"/>
        <v>46121786.648437507</v>
      </c>
      <c r="H243" s="59">
        <f t="shared" si="112"/>
        <v>50604573.875625014</v>
      </c>
      <c r="I243" s="59">
        <f t="shared" si="112"/>
        <v>55220926.457812518</v>
      </c>
      <c r="J243" s="59">
        <f t="shared" si="112"/>
        <v>59970844.395000026</v>
      </c>
      <c r="K243" s="175">
        <f t="shared" si="102"/>
        <v>6071.1524999999992</v>
      </c>
      <c r="L243" s="52">
        <v>5771</v>
      </c>
      <c r="M243">
        <f t="shared" si="103"/>
        <v>31740500</v>
      </c>
    </row>
    <row r="244" spans="1:13" ht="15.75" hidden="1" customHeight="1">
      <c r="A244" s="171" t="str">
        <f t="shared" si="99"/>
        <v>Jawar</v>
      </c>
      <c r="B244" s="57" t="s">
        <v>579</v>
      </c>
      <c r="C244" s="59"/>
      <c r="D244" s="59">
        <f t="shared" ref="D244:J244" si="113">B79*$C$244*D$172</f>
        <v>0</v>
      </c>
      <c r="E244" s="59">
        <f t="shared" si="113"/>
        <v>0</v>
      </c>
      <c r="F244" s="59">
        <f t="shared" si="113"/>
        <v>0</v>
      </c>
      <c r="G244" s="59">
        <f t="shared" si="113"/>
        <v>0</v>
      </c>
      <c r="H244" s="59">
        <f t="shared" si="113"/>
        <v>0</v>
      </c>
      <c r="I244" s="59">
        <f t="shared" si="113"/>
        <v>0</v>
      </c>
      <c r="J244" s="59">
        <f t="shared" si="113"/>
        <v>0</v>
      </c>
      <c r="K244" s="52"/>
      <c r="L244" s="52"/>
    </row>
    <row r="245" spans="1:13" ht="15.75" hidden="1" customHeight="1">
      <c r="A245" s="171" t="str">
        <f t="shared" si="99"/>
        <v>Maize</v>
      </c>
      <c r="B245" s="57" t="s">
        <v>579</v>
      </c>
      <c r="C245" s="59"/>
      <c r="D245" s="59">
        <f t="shared" ref="D245:J245" si="114">B80*$C$245*D$172</f>
        <v>0</v>
      </c>
      <c r="E245" s="59">
        <f t="shared" si="114"/>
        <v>0</v>
      </c>
      <c r="F245" s="59">
        <f t="shared" si="114"/>
        <v>0</v>
      </c>
      <c r="G245" s="59">
        <f t="shared" si="114"/>
        <v>0</v>
      </c>
      <c r="H245" s="59">
        <f t="shared" si="114"/>
        <v>0</v>
      </c>
      <c r="I245" s="59">
        <f t="shared" si="114"/>
        <v>0</v>
      </c>
      <c r="J245" s="59">
        <f t="shared" si="114"/>
        <v>0</v>
      </c>
      <c r="K245" s="52"/>
      <c r="L245" s="52"/>
    </row>
    <row r="246" spans="1:13" ht="15.75" hidden="1" customHeight="1">
      <c r="A246" s="171" t="str">
        <f t="shared" si="99"/>
        <v>Safflower</v>
      </c>
      <c r="B246" s="57" t="s">
        <v>579</v>
      </c>
      <c r="C246" s="59"/>
      <c r="D246" s="59">
        <f t="shared" ref="D246:J246" si="115">B81*$C$246*D$172</f>
        <v>0</v>
      </c>
      <c r="E246" s="59">
        <f t="shared" si="115"/>
        <v>0</v>
      </c>
      <c r="F246" s="59">
        <f t="shared" si="115"/>
        <v>0</v>
      </c>
      <c r="G246" s="59">
        <f t="shared" si="115"/>
        <v>0</v>
      </c>
      <c r="H246" s="59">
        <f t="shared" si="115"/>
        <v>0</v>
      </c>
      <c r="I246" s="59">
        <f t="shared" si="115"/>
        <v>0</v>
      </c>
      <c r="J246" s="59">
        <f t="shared" si="115"/>
        <v>0</v>
      </c>
      <c r="K246" s="52"/>
      <c r="L246" s="52"/>
    </row>
    <row r="247" spans="1:13" ht="15.75" hidden="1" customHeight="1">
      <c r="A247" s="171">
        <f t="shared" si="99"/>
        <v>0</v>
      </c>
      <c r="B247" s="57" t="s">
        <v>579</v>
      </c>
      <c r="C247" s="59"/>
      <c r="D247" s="59">
        <f t="shared" ref="D247:J247" si="116">B82*$C$247*D$172</f>
        <v>0</v>
      </c>
      <c r="E247" s="59">
        <f t="shared" si="116"/>
        <v>0</v>
      </c>
      <c r="F247" s="59">
        <f t="shared" si="116"/>
        <v>0</v>
      </c>
      <c r="G247" s="59">
        <f t="shared" si="116"/>
        <v>0</v>
      </c>
      <c r="H247" s="59">
        <f t="shared" si="116"/>
        <v>0</v>
      </c>
      <c r="I247" s="59">
        <f t="shared" si="116"/>
        <v>0</v>
      </c>
      <c r="J247" s="59">
        <f t="shared" si="116"/>
        <v>0</v>
      </c>
      <c r="K247" s="52"/>
      <c r="L247" s="52"/>
    </row>
    <row r="248" spans="1:13" ht="15.75" hidden="1" customHeight="1">
      <c r="A248" s="171">
        <f t="shared" si="99"/>
        <v>0</v>
      </c>
      <c r="B248" s="57" t="s">
        <v>579</v>
      </c>
      <c r="C248" s="59"/>
      <c r="D248" s="59">
        <f t="shared" ref="D248:J248" si="117">B83*$C$248*D$172</f>
        <v>0</v>
      </c>
      <c r="E248" s="59">
        <f t="shared" si="117"/>
        <v>0</v>
      </c>
      <c r="F248" s="59">
        <f t="shared" si="117"/>
        <v>0</v>
      </c>
      <c r="G248" s="59">
        <f t="shared" si="117"/>
        <v>0</v>
      </c>
      <c r="H248" s="59">
        <f t="shared" si="117"/>
        <v>0</v>
      </c>
      <c r="I248" s="59">
        <f t="shared" si="117"/>
        <v>0</v>
      </c>
      <c r="J248" s="59">
        <f t="shared" si="117"/>
        <v>0</v>
      </c>
      <c r="K248" s="52"/>
      <c r="L248" s="52"/>
    </row>
    <row r="249" spans="1:13" ht="15.75" hidden="1" customHeight="1">
      <c r="A249" s="171">
        <f t="shared" si="99"/>
        <v>0</v>
      </c>
      <c r="B249" s="57" t="s">
        <v>579</v>
      </c>
      <c r="C249" s="59"/>
      <c r="D249" s="59">
        <f t="shared" ref="D249:J255" si="118">B84*$C249*D$172</f>
        <v>0</v>
      </c>
      <c r="E249" s="59">
        <f t="shared" si="118"/>
        <v>0</v>
      </c>
      <c r="F249" s="59">
        <f t="shared" si="118"/>
        <v>0</v>
      </c>
      <c r="G249" s="59">
        <f t="shared" si="118"/>
        <v>0</v>
      </c>
      <c r="H249" s="59">
        <f t="shared" si="118"/>
        <v>0</v>
      </c>
      <c r="I249" s="59">
        <f t="shared" si="118"/>
        <v>0</v>
      </c>
      <c r="J249" s="59">
        <f t="shared" si="118"/>
        <v>0</v>
      </c>
      <c r="K249" s="52"/>
      <c r="L249" s="52"/>
    </row>
    <row r="250" spans="1:13" ht="15.75" hidden="1" customHeight="1">
      <c r="A250" s="171" t="str">
        <f t="shared" si="99"/>
        <v>Groundnut</v>
      </c>
      <c r="B250" s="57" t="s">
        <v>579</v>
      </c>
      <c r="C250" s="59"/>
      <c r="D250" s="59">
        <f t="shared" si="118"/>
        <v>0</v>
      </c>
      <c r="E250" s="59">
        <f t="shared" si="118"/>
        <v>0</v>
      </c>
      <c r="F250" s="59">
        <f t="shared" si="118"/>
        <v>0</v>
      </c>
      <c r="G250" s="59">
        <f t="shared" si="118"/>
        <v>0</v>
      </c>
      <c r="H250" s="59">
        <f t="shared" si="118"/>
        <v>0</v>
      </c>
      <c r="I250" s="59">
        <f t="shared" si="118"/>
        <v>0</v>
      </c>
      <c r="J250" s="59">
        <f t="shared" si="118"/>
        <v>0</v>
      </c>
      <c r="K250" s="52"/>
      <c r="L250" s="52"/>
    </row>
    <row r="251" spans="1:13" ht="15.75" hidden="1" customHeight="1">
      <c r="A251" s="171">
        <f t="shared" si="99"/>
        <v>0</v>
      </c>
      <c r="B251" s="57" t="s">
        <v>579</v>
      </c>
      <c r="C251" s="59"/>
      <c r="D251" s="59">
        <f t="shared" si="118"/>
        <v>0</v>
      </c>
      <c r="E251" s="59">
        <f t="shared" si="118"/>
        <v>0</v>
      </c>
      <c r="F251" s="59">
        <f t="shared" si="118"/>
        <v>0</v>
      </c>
      <c r="G251" s="59">
        <f t="shared" si="118"/>
        <v>0</v>
      </c>
      <c r="H251" s="59">
        <f t="shared" si="118"/>
        <v>0</v>
      </c>
      <c r="I251" s="59">
        <f t="shared" si="118"/>
        <v>0</v>
      </c>
      <c r="J251" s="59">
        <f t="shared" si="118"/>
        <v>0</v>
      </c>
      <c r="K251" s="52"/>
      <c r="L251" s="52"/>
    </row>
    <row r="252" spans="1:13" ht="15.75" hidden="1" customHeight="1">
      <c r="A252" s="171">
        <f t="shared" si="99"/>
        <v>0</v>
      </c>
      <c r="B252" s="57" t="s">
        <v>579</v>
      </c>
      <c r="C252" s="59"/>
      <c r="D252" s="59">
        <f t="shared" si="118"/>
        <v>0</v>
      </c>
      <c r="E252" s="59">
        <f t="shared" si="118"/>
        <v>0</v>
      </c>
      <c r="F252" s="59">
        <f t="shared" si="118"/>
        <v>0</v>
      </c>
      <c r="G252" s="59">
        <f t="shared" si="118"/>
        <v>0</v>
      </c>
      <c r="H252" s="59">
        <f t="shared" si="118"/>
        <v>0</v>
      </c>
      <c r="I252" s="59">
        <f t="shared" si="118"/>
        <v>0</v>
      </c>
      <c r="J252" s="59">
        <f t="shared" si="118"/>
        <v>0</v>
      </c>
      <c r="K252" s="52"/>
      <c r="L252" s="52"/>
    </row>
    <row r="253" spans="1:13" ht="15.75" hidden="1" customHeight="1">
      <c r="A253" s="171">
        <f t="shared" si="99"/>
        <v>0</v>
      </c>
      <c r="B253" s="57" t="s">
        <v>579</v>
      </c>
      <c r="C253" s="59"/>
      <c r="D253" s="59">
        <f t="shared" si="118"/>
        <v>0</v>
      </c>
      <c r="E253" s="59">
        <f t="shared" si="118"/>
        <v>0</v>
      </c>
      <c r="F253" s="59">
        <f t="shared" si="118"/>
        <v>0</v>
      </c>
      <c r="G253" s="59">
        <f t="shared" si="118"/>
        <v>0</v>
      </c>
      <c r="H253" s="59">
        <f t="shared" si="118"/>
        <v>0</v>
      </c>
      <c r="I253" s="59">
        <f t="shared" si="118"/>
        <v>0</v>
      </c>
      <c r="J253" s="59">
        <f t="shared" si="118"/>
        <v>0</v>
      </c>
      <c r="K253" s="52"/>
      <c r="L253" s="52"/>
    </row>
    <row r="254" spans="1:13" ht="15.75" hidden="1" customHeight="1">
      <c r="A254" s="57">
        <f t="shared" si="99"/>
        <v>0</v>
      </c>
      <c r="B254" s="57" t="s">
        <v>579</v>
      </c>
      <c r="C254" s="59"/>
      <c r="D254" s="59">
        <f t="shared" si="118"/>
        <v>0</v>
      </c>
      <c r="E254" s="59">
        <f t="shared" si="118"/>
        <v>0</v>
      </c>
      <c r="F254" s="59">
        <f t="shared" si="118"/>
        <v>0</v>
      </c>
      <c r="G254" s="59">
        <f t="shared" si="118"/>
        <v>0</v>
      </c>
      <c r="H254" s="59">
        <f t="shared" si="118"/>
        <v>0</v>
      </c>
      <c r="I254" s="59">
        <f t="shared" si="118"/>
        <v>0</v>
      </c>
      <c r="J254" s="59">
        <f t="shared" si="118"/>
        <v>0</v>
      </c>
      <c r="K254" s="52"/>
      <c r="L254" s="52"/>
    </row>
    <row r="255" spans="1:13" ht="15.75" hidden="1" customHeight="1">
      <c r="A255" s="57">
        <f t="shared" ref="A255:A274" si="119">A201</f>
        <v>0</v>
      </c>
      <c r="B255" s="57"/>
      <c r="C255" s="59"/>
      <c r="D255" s="59">
        <f t="shared" si="118"/>
        <v>0</v>
      </c>
      <c r="E255" s="59">
        <f t="shared" si="118"/>
        <v>0</v>
      </c>
      <c r="F255" s="59">
        <f t="shared" si="118"/>
        <v>0</v>
      </c>
      <c r="G255" s="59">
        <f t="shared" si="118"/>
        <v>0</v>
      </c>
      <c r="H255" s="59">
        <f t="shared" si="118"/>
        <v>0</v>
      </c>
      <c r="I255" s="59">
        <f t="shared" si="118"/>
        <v>0</v>
      </c>
      <c r="J255" s="59">
        <f t="shared" si="118"/>
        <v>0</v>
      </c>
      <c r="K255" s="52"/>
      <c r="L255" s="52"/>
    </row>
    <row r="256" spans="1:13" ht="15.75" hidden="1" customHeight="1">
      <c r="A256" s="170" t="str">
        <f t="shared" si="119"/>
        <v>Fruit  &amp; Vegetables Crop Production Details</v>
      </c>
      <c r="B256" s="57"/>
      <c r="C256" s="59"/>
      <c r="D256" s="59"/>
      <c r="E256" s="59"/>
      <c r="F256" s="59"/>
      <c r="G256" s="59"/>
      <c r="H256" s="59"/>
      <c r="I256" s="59"/>
      <c r="J256" s="59"/>
      <c r="K256" s="52"/>
      <c r="L256" s="52"/>
    </row>
    <row r="257" spans="1:12" ht="15.75" hidden="1" customHeight="1">
      <c r="A257" s="171" t="str">
        <f t="shared" si="119"/>
        <v>Onion</v>
      </c>
      <c r="B257" s="57" t="s">
        <v>579</v>
      </c>
      <c r="C257" s="59">
        <v>1800</v>
      </c>
      <c r="D257" s="59">
        <f t="shared" ref="D257:D274" si="120">B92*$C257*D$172</f>
        <v>0</v>
      </c>
      <c r="E257" s="59">
        <f t="shared" ref="E257:E274" si="121">C92*$C257*E$172</f>
        <v>0</v>
      </c>
      <c r="F257" s="59">
        <f t="shared" ref="F257:F274" si="122">D92*$C257*F$172</f>
        <v>0</v>
      </c>
      <c r="G257" s="59">
        <f t="shared" ref="G257:G274" si="123">E92*$C257*G$172</f>
        <v>0</v>
      </c>
      <c r="H257" s="59">
        <f t="shared" ref="H257:H274" si="124">F92*$C257*H$172</f>
        <v>0</v>
      </c>
      <c r="I257" s="59">
        <f t="shared" ref="I257:I274" si="125">G92*$C257*I$172</f>
        <v>0</v>
      </c>
      <c r="J257" s="59">
        <f t="shared" ref="J257:J274" si="126">H92*$C257*J$172</f>
        <v>0</v>
      </c>
      <c r="K257" s="52"/>
      <c r="L257" s="52"/>
    </row>
    <row r="258" spans="1:12" ht="15.75" hidden="1" customHeight="1">
      <c r="A258" s="171" t="str">
        <f t="shared" si="119"/>
        <v>Tomato</v>
      </c>
      <c r="B258" s="57" t="s">
        <v>579</v>
      </c>
      <c r="C258" s="59">
        <v>800</v>
      </c>
      <c r="D258" s="59">
        <f t="shared" si="120"/>
        <v>0</v>
      </c>
      <c r="E258" s="59">
        <f t="shared" si="121"/>
        <v>0</v>
      </c>
      <c r="F258" s="59">
        <f t="shared" si="122"/>
        <v>0</v>
      </c>
      <c r="G258" s="59">
        <f t="shared" si="123"/>
        <v>0</v>
      </c>
      <c r="H258" s="59">
        <f t="shared" si="124"/>
        <v>0</v>
      </c>
      <c r="I258" s="59">
        <f t="shared" si="125"/>
        <v>0</v>
      </c>
      <c r="J258" s="59">
        <f t="shared" si="126"/>
        <v>0</v>
      </c>
      <c r="K258" s="52"/>
      <c r="L258" s="52"/>
    </row>
    <row r="259" spans="1:12" ht="15.75" hidden="1" customHeight="1">
      <c r="A259" s="171" t="str">
        <f t="shared" si="119"/>
        <v>Okra</v>
      </c>
      <c r="B259" s="57" t="s">
        <v>579</v>
      </c>
      <c r="C259" s="59">
        <v>1300</v>
      </c>
      <c r="D259" s="59">
        <f t="shared" si="120"/>
        <v>0</v>
      </c>
      <c r="E259" s="59">
        <f t="shared" si="121"/>
        <v>0</v>
      </c>
      <c r="F259" s="59">
        <f t="shared" si="122"/>
        <v>0</v>
      </c>
      <c r="G259" s="59">
        <f t="shared" si="123"/>
        <v>0</v>
      </c>
      <c r="H259" s="59">
        <f t="shared" si="124"/>
        <v>0</v>
      </c>
      <c r="I259" s="59">
        <f t="shared" si="125"/>
        <v>0</v>
      </c>
      <c r="J259" s="59">
        <f t="shared" si="126"/>
        <v>0</v>
      </c>
      <c r="K259" s="52"/>
      <c r="L259" s="52"/>
    </row>
    <row r="260" spans="1:12" ht="15.75" hidden="1" customHeight="1">
      <c r="A260" s="171" t="str">
        <f t="shared" si="119"/>
        <v>Chilli</v>
      </c>
      <c r="B260" s="57" t="s">
        <v>579</v>
      </c>
      <c r="C260" s="59">
        <v>2800</v>
      </c>
      <c r="D260" s="59">
        <f t="shared" si="120"/>
        <v>0</v>
      </c>
      <c r="E260" s="59">
        <f t="shared" si="121"/>
        <v>0</v>
      </c>
      <c r="F260" s="59">
        <f t="shared" si="122"/>
        <v>0</v>
      </c>
      <c r="G260" s="59">
        <f t="shared" si="123"/>
        <v>0</v>
      </c>
      <c r="H260" s="59">
        <f t="shared" si="124"/>
        <v>0</v>
      </c>
      <c r="I260" s="59">
        <f t="shared" si="125"/>
        <v>0</v>
      </c>
      <c r="J260" s="59">
        <f t="shared" si="126"/>
        <v>0</v>
      </c>
      <c r="K260" s="52"/>
      <c r="L260" s="52"/>
    </row>
    <row r="261" spans="1:12" ht="15.75" hidden="1" customHeight="1">
      <c r="A261" s="171" t="str">
        <f t="shared" si="119"/>
        <v>Potato</v>
      </c>
      <c r="B261" s="57" t="s">
        <v>579</v>
      </c>
      <c r="C261" s="59">
        <v>1300</v>
      </c>
      <c r="D261" s="59">
        <f t="shared" si="120"/>
        <v>0</v>
      </c>
      <c r="E261" s="59">
        <f t="shared" si="121"/>
        <v>0</v>
      </c>
      <c r="F261" s="59">
        <f t="shared" si="122"/>
        <v>0</v>
      </c>
      <c r="G261" s="59">
        <f t="shared" si="123"/>
        <v>0</v>
      </c>
      <c r="H261" s="59">
        <f t="shared" si="124"/>
        <v>0</v>
      </c>
      <c r="I261" s="59">
        <f t="shared" si="125"/>
        <v>0</v>
      </c>
      <c r="J261" s="59">
        <f t="shared" si="126"/>
        <v>0</v>
      </c>
      <c r="K261" s="52"/>
      <c r="L261" s="52"/>
    </row>
    <row r="262" spans="1:12" ht="15.75" hidden="1" customHeight="1">
      <c r="A262" s="171">
        <f t="shared" si="119"/>
        <v>0</v>
      </c>
      <c r="B262" s="57" t="s">
        <v>579</v>
      </c>
      <c r="C262" s="59"/>
      <c r="D262" s="59">
        <f t="shared" si="120"/>
        <v>0</v>
      </c>
      <c r="E262" s="59">
        <f t="shared" si="121"/>
        <v>0</v>
      </c>
      <c r="F262" s="59">
        <f t="shared" si="122"/>
        <v>0</v>
      </c>
      <c r="G262" s="59">
        <f t="shared" si="123"/>
        <v>0</v>
      </c>
      <c r="H262" s="59">
        <f t="shared" si="124"/>
        <v>0</v>
      </c>
      <c r="I262" s="59">
        <f t="shared" si="125"/>
        <v>0</v>
      </c>
      <c r="J262" s="59">
        <f t="shared" si="126"/>
        <v>0</v>
      </c>
      <c r="K262" s="52"/>
      <c r="L262" s="52"/>
    </row>
    <row r="263" spans="1:12" ht="15.75" hidden="1" customHeight="1">
      <c r="A263" s="171">
        <f t="shared" si="119"/>
        <v>0</v>
      </c>
      <c r="B263" s="57" t="s">
        <v>579</v>
      </c>
      <c r="C263" s="59"/>
      <c r="D263" s="59">
        <f t="shared" si="120"/>
        <v>0</v>
      </c>
      <c r="E263" s="59">
        <f t="shared" si="121"/>
        <v>0</v>
      </c>
      <c r="F263" s="59">
        <f t="shared" si="122"/>
        <v>0</v>
      </c>
      <c r="G263" s="59">
        <f t="shared" si="123"/>
        <v>0</v>
      </c>
      <c r="H263" s="59">
        <f t="shared" si="124"/>
        <v>0</v>
      </c>
      <c r="I263" s="59">
        <f t="shared" si="125"/>
        <v>0</v>
      </c>
      <c r="J263" s="59">
        <f t="shared" si="126"/>
        <v>0</v>
      </c>
      <c r="K263" s="52"/>
      <c r="L263" s="52"/>
    </row>
    <row r="264" spans="1:12" ht="15.75" hidden="1" customHeight="1">
      <c r="A264" s="171">
        <f t="shared" si="119"/>
        <v>0</v>
      </c>
      <c r="B264" s="57" t="s">
        <v>579</v>
      </c>
      <c r="C264" s="59"/>
      <c r="D264" s="59">
        <f t="shared" si="120"/>
        <v>0</v>
      </c>
      <c r="E264" s="59">
        <f t="shared" si="121"/>
        <v>0</v>
      </c>
      <c r="F264" s="59">
        <f t="shared" si="122"/>
        <v>0</v>
      </c>
      <c r="G264" s="59">
        <f t="shared" si="123"/>
        <v>0</v>
      </c>
      <c r="H264" s="59">
        <f t="shared" si="124"/>
        <v>0</v>
      </c>
      <c r="I264" s="59">
        <f t="shared" si="125"/>
        <v>0</v>
      </c>
      <c r="J264" s="59">
        <f t="shared" si="126"/>
        <v>0</v>
      </c>
      <c r="K264" s="52"/>
      <c r="L264" s="52"/>
    </row>
    <row r="265" spans="1:12" ht="15.75" hidden="1" customHeight="1">
      <c r="A265" s="171">
        <f t="shared" si="119"/>
        <v>0</v>
      </c>
      <c r="B265" s="57" t="s">
        <v>579</v>
      </c>
      <c r="C265" s="59"/>
      <c r="D265" s="59">
        <f t="shared" si="120"/>
        <v>0</v>
      </c>
      <c r="E265" s="59">
        <f t="shared" si="121"/>
        <v>0</v>
      </c>
      <c r="F265" s="59">
        <f t="shared" si="122"/>
        <v>0</v>
      </c>
      <c r="G265" s="59">
        <f t="shared" si="123"/>
        <v>0</v>
      </c>
      <c r="H265" s="59">
        <f t="shared" si="124"/>
        <v>0</v>
      </c>
      <c r="I265" s="59">
        <f t="shared" si="125"/>
        <v>0</v>
      </c>
      <c r="J265" s="59">
        <f t="shared" si="126"/>
        <v>0</v>
      </c>
      <c r="K265" s="52"/>
      <c r="L265" s="52"/>
    </row>
    <row r="266" spans="1:12" ht="15.75" hidden="1" customHeight="1">
      <c r="A266" s="171" t="str">
        <f t="shared" si="119"/>
        <v>Onion</v>
      </c>
      <c r="B266" s="57" t="s">
        <v>579</v>
      </c>
      <c r="C266" s="59">
        <v>1800</v>
      </c>
      <c r="D266" s="59">
        <f t="shared" si="120"/>
        <v>0</v>
      </c>
      <c r="E266" s="59">
        <f t="shared" si="121"/>
        <v>0</v>
      </c>
      <c r="F266" s="59">
        <f t="shared" si="122"/>
        <v>0</v>
      </c>
      <c r="G266" s="59">
        <f t="shared" si="123"/>
        <v>0</v>
      </c>
      <c r="H266" s="59">
        <f t="shared" si="124"/>
        <v>0</v>
      </c>
      <c r="I266" s="59">
        <f t="shared" si="125"/>
        <v>0</v>
      </c>
      <c r="J266" s="59">
        <f t="shared" si="126"/>
        <v>0</v>
      </c>
      <c r="K266" s="52"/>
      <c r="L266" s="52"/>
    </row>
    <row r="267" spans="1:12" ht="15.75" hidden="1" customHeight="1">
      <c r="A267" s="171" t="str">
        <f t="shared" si="119"/>
        <v>Tomato</v>
      </c>
      <c r="B267" s="57" t="s">
        <v>579</v>
      </c>
      <c r="C267" s="59">
        <v>800</v>
      </c>
      <c r="D267" s="59">
        <f t="shared" si="120"/>
        <v>0</v>
      </c>
      <c r="E267" s="59">
        <f t="shared" si="121"/>
        <v>0</v>
      </c>
      <c r="F267" s="59">
        <f t="shared" si="122"/>
        <v>0</v>
      </c>
      <c r="G267" s="59">
        <f t="shared" si="123"/>
        <v>0</v>
      </c>
      <c r="H267" s="59">
        <f t="shared" si="124"/>
        <v>0</v>
      </c>
      <c r="I267" s="59">
        <f t="shared" si="125"/>
        <v>0</v>
      </c>
      <c r="J267" s="59">
        <f t="shared" si="126"/>
        <v>0</v>
      </c>
      <c r="K267" s="52"/>
      <c r="L267" s="52"/>
    </row>
    <row r="268" spans="1:12" ht="15.75" hidden="1" customHeight="1">
      <c r="A268" s="171" t="str">
        <f t="shared" si="119"/>
        <v>Okra</v>
      </c>
      <c r="B268" s="57" t="s">
        <v>579</v>
      </c>
      <c r="C268" s="59">
        <v>1300</v>
      </c>
      <c r="D268" s="59">
        <f t="shared" si="120"/>
        <v>0</v>
      </c>
      <c r="E268" s="59">
        <f t="shared" si="121"/>
        <v>0</v>
      </c>
      <c r="F268" s="59">
        <f t="shared" si="122"/>
        <v>0</v>
      </c>
      <c r="G268" s="59">
        <f t="shared" si="123"/>
        <v>0</v>
      </c>
      <c r="H268" s="59">
        <f t="shared" si="124"/>
        <v>0</v>
      </c>
      <c r="I268" s="59">
        <f t="shared" si="125"/>
        <v>0</v>
      </c>
      <c r="J268" s="59">
        <f t="shared" si="126"/>
        <v>0</v>
      </c>
      <c r="K268" s="52"/>
      <c r="L268" s="52"/>
    </row>
    <row r="269" spans="1:12" ht="15.75" hidden="1" customHeight="1">
      <c r="A269" s="171" t="str">
        <f t="shared" si="119"/>
        <v>Chilli</v>
      </c>
      <c r="B269" s="57" t="s">
        <v>579</v>
      </c>
      <c r="C269" s="59">
        <v>2800</v>
      </c>
      <c r="D269" s="59">
        <f t="shared" si="120"/>
        <v>0</v>
      </c>
      <c r="E269" s="59">
        <f t="shared" si="121"/>
        <v>0</v>
      </c>
      <c r="F269" s="59">
        <f t="shared" si="122"/>
        <v>0</v>
      </c>
      <c r="G269" s="59">
        <f t="shared" si="123"/>
        <v>0</v>
      </c>
      <c r="H269" s="59">
        <f t="shared" si="124"/>
        <v>0</v>
      </c>
      <c r="I269" s="59">
        <f t="shared" si="125"/>
        <v>0</v>
      </c>
      <c r="J269" s="59">
        <f t="shared" si="126"/>
        <v>0</v>
      </c>
      <c r="K269" s="52"/>
      <c r="L269" s="52"/>
    </row>
    <row r="270" spans="1:12" ht="15.75" hidden="1" customHeight="1">
      <c r="A270" s="171" t="str">
        <f t="shared" si="119"/>
        <v>Brinjal</v>
      </c>
      <c r="B270" s="57" t="s">
        <v>579</v>
      </c>
      <c r="C270" s="59">
        <v>1800</v>
      </c>
      <c r="D270" s="59">
        <f t="shared" si="120"/>
        <v>0</v>
      </c>
      <c r="E270" s="59">
        <f t="shared" si="121"/>
        <v>0</v>
      </c>
      <c r="F270" s="59">
        <f t="shared" si="122"/>
        <v>0</v>
      </c>
      <c r="G270" s="59">
        <f t="shared" si="123"/>
        <v>0</v>
      </c>
      <c r="H270" s="59">
        <f t="shared" si="124"/>
        <v>0</v>
      </c>
      <c r="I270" s="59">
        <f t="shared" si="125"/>
        <v>0</v>
      </c>
      <c r="J270" s="59">
        <f t="shared" si="126"/>
        <v>0</v>
      </c>
      <c r="K270" s="52"/>
      <c r="L270" s="52"/>
    </row>
    <row r="271" spans="1:12" ht="15.75" hidden="1" customHeight="1">
      <c r="A271" s="171">
        <f t="shared" si="119"/>
        <v>0</v>
      </c>
      <c r="B271" s="57" t="s">
        <v>579</v>
      </c>
      <c r="C271" s="59"/>
      <c r="D271" s="59">
        <f t="shared" si="120"/>
        <v>0</v>
      </c>
      <c r="E271" s="59">
        <f t="shared" si="121"/>
        <v>0</v>
      </c>
      <c r="F271" s="59">
        <f t="shared" si="122"/>
        <v>0</v>
      </c>
      <c r="G271" s="59">
        <f t="shared" si="123"/>
        <v>0</v>
      </c>
      <c r="H271" s="59">
        <f t="shared" si="124"/>
        <v>0</v>
      </c>
      <c r="I271" s="59">
        <f t="shared" si="125"/>
        <v>0</v>
      </c>
      <c r="J271" s="59">
        <f t="shared" si="126"/>
        <v>0</v>
      </c>
      <c r="K271" s="52"/>
      <c r="L271" s="52"/>
    </row>
    <row r="272" spans="1:12" ht="15.75" hidden="1" customHeight="1">
      <c r="A272" s="171">
        <f t="shared" si="119"/>
        <v>0</v>
      </c>
      <c r="B272" s="57" t="s">
        <v>579</v>
      </c>
      <c r="C272" s="59"/>
      <c r="D272" s="59">
        <f t="shared" si="120"/>
        <v>0</v>
      </c>
      <c r="E272" s="59">
        <f t="shared" si="121"/>
        <v>0</v>
      </c>
      <c r="F272" s="59">
        <f t="shared" si="122"/>
        <v>0</v>
      </c>
      <c r="G272" s="59">
        <f t="shared" si="123"/>
        <v>0</v>
      </c>
      <c r="H272" s="59">
        <f t="shared" si="124"/>
        <v>0</v>
      </c>
      <c r="I272" s="59">
        <f t="shared" si="125"/>
        <v>0</v>
      </c>
      <c r="J272" s="59">
        <f t="shared" si="126"/>
        <v>0</v>
      </c>
      <c r="K272" s="52"/>
      <c r="L272" s="52"/>
    </row>
    <row r="273" spans="1:12" ht="15.75" hidden="1" customHeight="1">
      <c r="A273" s="171">
        <f t="shared" si="119"/>
        <v>0</v>
      </c>
      <c r="B273" s="57" t="s">
        <v>579</v>
      </c>
      <c r="C273" s="59"/>
      <c r="D273" s="59">
        <f t="shared" si="120"/>
        <v>0</v>
      </c>
      <c r="E273" s="59">
        <f t="shared" si="121"/>
        <v>0</v>
      </c>
      <c r="F273" s="59">
        <f t="shared" si="122"/>
        <v>0</v>
      </c>
      <c r="G273" s="59">
        <f t="shared" si="123"/>
        <v>0</v>
      </c>
      <c r="H273" s="59">
        <f t="shared" si="124"/>
        <v>0</v>
      </c>
      <c r="I273" s="59">
        <f t="shared" si="125"/>
        <v>0</v>
      </c>
      <c r="J273" s="59">
        <f t="shared" si="126"/>
        <v>0</v>
      </c>
      <c r="K273" s="52"/>
      <c r="L273" s="52"/>
    </row>
    <row r="274" spans="1:12" ht="15.75" hidden="1" customHeight="1">
      <c r="A274" s="171">
        <f t="shared" si="119"/>
        <v>0</v>
      </c>
      <c r="B274" s="57" t="s">
        <v>579</v>
      </c>
      <c r="C274" s="59"/>
      <c r="D274" s="59">
        <f t="shared" si="120"/>
        <v>0</v>
      </c>
      <c r="E274" s="59">
        <f t="shared" si="121"/>
        <v>0</v>
      </c>
      <c r="F274" s="59">
        <f t="shared" si="122"/>
        <v>0</v>
      </c>
      <c r="G274" s="59">
        <f t="shared" si="123"/>
        <v>0</v>
      </c>
      <c r="H274" s="59">
        <f t="shared" si="124"/>
        <v>0</v>
      </c>
      <c r="I274" s="59">
        <f t="shared" si="125"/>
        <v>0</v>
      </c>
      <c r="J274" s="59">
        <f t="shared" si="126"/>
        <v>0</v>
      </c>
      <c r="K274" s="52"/>
      <c r="L274" s="52"/>
    </row>
    <row r="275" spans="1:12" ht="15.75" hidden="1" customHeight="1">
      <c r="A275" s="171" t="str">
        <f t="shared" ref="A275:A279" si="127">A224</f>
        <v>Pomegranate</v>
      </c>
      <c r="B275" s="57" t="s">
        <v>579</v>
      </c>
      <c r="C275" s="59">
        <v>4700</v>
      </c>
      <c r="D275" s="59">
        <f t="shared" ref="D275:J280" si="128">B113*$C275*D$172</f>
        <v>0</v>
      </c>
      <c r="E275" s="59">
        <f t="shared" si="128"/>
        <v>0</v>
      </c>
      <c r="F275" s="59">
        <f t="shared" si="128"/>
        <v>0</v>
      </c>
      <c r="G275" s="59">
        <f t="shared" si="128"/>
        <v>0</v>
      </c>
      <c r="H275" s="59">
        <f t="shared" si="128"/>
        <v>0</v>
      </c>
      <c r="I275" s="59">
        <f t="shared" si="128"/>
        <v>0</v>
      </c>
      <c r="J275" s="59">
        <f t="shared" si="128"/>
        <v>0</v>
      </c>
      <c r="K275" s="52"/>
      <c r="L275" s="52"/>
    </row>
    <row r="276" spans="1:12" ht="15.75" hidden="1" customHeight="1">
      <c r="A276" s="171" t="str">
        <f t="shared" si="127"/>
        <v>Custard Apple</v>
      </c>
      <c r="B276" s="57" t="s">
        <v>579</v>
      </c>
      <c r="C276" s="59"/>
      <c r="D276" s="59">
        <f t="shared" si="128"/>
        <v>0</v>
      </c>
      <c r="E276" s="59">
        <f t="shared" si="128"/>
        <v>0</v>
      </c>
      <c r="F276" s="59">
        <f t="shared" si="128"/>
        <v>0</v>
      </c>
      <c r="G276" s="59">
        <f t="shared" si="128"/>
        <v>0</v>
      </c>
      <c r="H276" s="59">
        <f t="shared" si="128"/>
        <v>0</v>
      </c>
      <c r="I276" s="59">
        <f t="shared" si="128"/>
        <v>0</v>
      </c>
      <c r="J276" s="59">
        <f t="shared" si="128"/>
        <v>0</v>
      </c>
      <c r="K276" s="52"/>
      <c r="L276" s="52"/>
    </row>
    <row r="277" spans="1:12" ht="15.75" hidden="1" customHeight="1">
      <c r="A277" s="171" t="str">
        <f t="shared" si="127"/>
        <v>Guava</v>
      </c>
      <c r="B277" s="57" t="s">
        <v>579</v>
      </c>
      <c r="C277" s="59"/>
      <c r="D277" s="59">
        <f t="shared" si="128"/>
        <v>0</v>
      </c>
      <c r="E277" s="59">
        <f t="shared" si="128"/>
        <v>0</v>
      </c>
      <c r="F277" s="59">
        <f t="shared" si="128"/>
        <v>0</v>
      </c>
      <c r="G277" s="59">
        <f t="shared" si="128"/>
        <v>0</v>
      </c>
      <c r="H277" s="59">
        <f t="shared" si="128"/>
        <v>0</v>
      </c>
      <c r="I277" s="59">
        <f t="shared" si="128"/>
        <v>0</v>
      </c>
      <c r="J277" s="59">
        <f t="shared" si="128"/>
        <v>0</v>
      </c>
      <c r="K277" s="52"/>
      <c r="L277" s="52"/>
    </row>
    <row r="278" spans="1:12" ht="15.75" hidden="1" customHeight="1">
      <c r="A278" s="171" t="str">
        <f t="shared" si="127"/>
        <v>Citrus</v>
      </c>
      <c r="B278" s="57" t="s">
        <v>579</v>
      </c>
      <c r="C278" s="59"/>
      <c r="D278" s="59">
        <f t="shared" si="128"/>
        <v>0</v>
      </c>
      <c r="E278" s="59">
        <f t="shared" si="128"/>
        <v>0</v>
      </c>
      <c r="F278" s="59">
        <f t="shared" si="128"/>
        <v>0</v>
      </c>
      <c r="G278" s="59">
        <f t="shared" si="128"/>
        <v>0</v>
      </c>
      <c r="H278" s="59">
        <f t="shared" si="128"/>
        <v>0</v>
      </c>
      <c r="I278" s="59">
        <f t="shared" si="128"/>
        <v>0</v>
      </c>
      <c r="J278" s="59">
        <f t="shared" si="128"/>
        <v>0</v>
      </c>
      <c r="K278" s="52"/>
      <c r="L278" s="52"/>
    </row>
    <row r="279" spans="1:12" ht="15.75" hidden="1" customHeight="1">
      <c r="A279" s="57">
        <f t="shared" si="127"/>
        <v>0</v>
      </c>
      <c r="B279" s="57" t="s">
        <v>579</v>
      </c>
      <c r="C279" s="59"/>
      <c r="D279" s="59">
        <f t="shared" si="128"/>
        <v>0</v>
      </c>
      <c r="E279" s="59">
        <f t="shared" si="128"/>
        <v>0</v>
      </c>
      <c r="F279" s="59">
        <f t="shared" si="128"/>
        <v>0</v>
      </c>
      <c r="G279" s="59">
        <f t="shared" si="128"/>
        <v>0</v>
      </c>
      <c r="H279" s="59">
        <f t="shared" si="128"/>
        <v>0</v>
      </c>
      <c r="I279" s="59">
        <f t="shared" si="128"/>
        <v>0</v>
      </c>
      <c r="J279" s="59">
        <f t="shared" si="128"/>
        <v>0</v>
      </c>
      <c r="K279" s="52"/>
      <c r="L279" s="52"/>
    </row>
    <row r="280" spans="1:12" ht="15.75" hidden="1" customHeight="1">
      <c r="A280" s="57">
        <f>A230</f>
        <v>0</v>
      </c>
      <c r="B280" s="57"/>
      <c r="C280" s="59"/>
      <c r="D280" s="59">
        <f t="shared" si="128"/>
        <v>0</v>
      </c>
      <c r="E280" s="59">
        <f t="shared" si="128"/>
        <v>0</v>
      </c>
      <c r="F280" s="59">
        <f t="shared" si="128"/>
        <v>0</v>
      </c>
      <c r="G280" s="59">
        <f t="shared" si="128"/>
        <v>0</v>
      </c>
      <c r="H280" s="59">
        <f t="shared" si="128"/>
        <v>0</v>
      </c>
      <c r="I280" s="59">
        <f t="shared" si="128"/>
        <v>0</v>
      </c>
      <c r="J280" s="59">
        <f t="shared" si="128"/>
        <v>0</v>
      </c>
      <c r="K280" s="52"/>
      <c r="L280" s="52"/>
    </row>
    <row r="281" spans="1:12" ht="15.75" hidden="1" customHeight="1">
      <c r="A281" s="57"/>
      <c r="B281" s="57"/>
      <c r="C281" s="59"/>
      <c r="D281" s="59"/>
      <c r="E281" s="59"/>
      <c r="F281" s="59"/>
      <c r="G281" s="59"/>
      <c r="H281" s="59"/>
      <c r="I281" s="59"/>
      <c r="J281" s="59"/>
      <c r="K281" s="52"/>
      <c r="L281" s="52"/>
    </row>
    <row r="282" spans="1:12" ht="15.75" customHeight="1">
      <c r="A282" s="57" t="s">
        <v>582</v>
      </c>
      <c r="B282" s="57">
        <v>5</v>
      </c>
      <c r="C282" s="57">
        <v>300</v>
      </c>
      <c r="D282" s="59">
        <f>B10*$B$282*$C$282*D172</f>
        <v>92362.225781250003</v>
      </c>
      <c r="E282" s="59">
        <f t="shared" ref="E282:J282" si="129">C10*$B$282*$C$282*E173</f>
        <v>103884.41344746095</v>
      </c>
      <c r="F282" s="59">
        <f t="shared" si="129"/>
        <v>115545.14445234375</v>
      </c>
      <c r="G282" s="59">
        <f t="shared" si="129"/>
        <v>127575.32436035157</v>
      </c>
      <c r="H282" s="59">
        <f t="shared" si="129"/>
        <v>139974.95317148441</v>
      </c>
      <c r="I282" s="59">
        <f t="shared" si="129"/>
        <v>152744.03088574225</v>
      </c>
      <c r="J282" s="59">
        <f t="shared" si="129"/>
        <v>165882.55750312511</v>
      </c>
      <c r="K282" s="175">
        <f t="shared" ref="K282:K285" si="130">+D282/C282</f>
        <v>307.87408593750001</v>
      </c>
      <c r="L282" s="52"/>
    </row>
    <row r="283" spans="1:12" ht="15.75" customHeight="1">
      <c r="A283" s="57" t="s">
        <v>583</v>
      </c>
      <c r="B283" s="57">
        <f>'2.Capex Details'!H33*0.746*8</f>
        <v>743.01599999999996</v>
      </c>
      <c r="C283" s="57">
        <v>8</v>
      </c>
      <c r="D283" s="59">
        <f>$B$283*$C$283*D172*B10</f>
        <v>366008.59493909997</v>
      </c>
      <c r="E283" s="59">
        <f t="shared" ref="E283:J283" si="131">$B$283*$C$283*E173*C10</f>
        <v>411668.16715775273</v>
      </c>
      <c r="F283" s="59">
        <f t="shared" si="131"/>
        <v>457876.75226881407</v>
      </c>
      <c r="G283" s="59">
        <f t="shared" si="131"/>
        <v>505549.3717596319</v>
      </c>
      <c r="H283" s="59">
        <f t="shared" si="131"/>
        <v>554686.02563020622</v>
      </c>
      <c r="I283" s="59">
        <f t="shared" si="131"/>
        <v>605286.71388053684</v>
      </c>
      <c r="J283" s="59">
        <f t="shared" si="131"/>
        <v>657351.4365106239</v>
      </c>
      <c r="K283" s="175">
        <f t="shared" si="130"/>
        <v>45751.074367387497</v>
      </c>
      <c r="L283" s="52"/>
    </row>
    <row r="284" spans="1:12" ht="15.75" customHeight="1">
      <c r="A284" s="57" t="s">
        <v>584</v>
      </c>
      <c r="B284" s="57"/>
      <c r="C284" s="57">
        <v>30</v>
      </c>
      <c r="D284" s="59">
        <f>SUM(B120:B141)*$C$284*D172</f>
        <v>860077.04647499998</v>
      </c>
      <c r="E284" s="59">
        <f t="shared" ref="E284:J284" si="132">SUM(C120:C141)*$C$284*E173</f>
        <v>967371.65802275622</v>
      </c>
      <c r="F284" s="59">
        <f t="shared" si="132"/>
        <v>1075956.3851402251</v>
      </c>
      <c r="G284" s="59">
        <f t="shared" si="132"/>
        <v>1187981.4204435938</v>
      </c>
      <c r="H284" s="59">
        <f t="shared" si="132"/>
        <v>1303446.7639328626</v>
      </c>
      <c r="I284" s="59">
        <f t="shared" si="132"/>
        <v>1422352.4156080319</v>
      </c>
      <c r="J284" s="59">
        <f t="shared" si="132"/>
        <v>1544698.3754691004</v>
      </c>
      <c r="K284" s="175">
        <f t="shared" si="130"/>
        <v>28669.234882500001</v>
      </c>
      <c r="L284" s="52"/>
    </row>
    <row r="285" spans="1:12" ht="15.75" customHeight="1">
      <c r="A285" s="57" t="s">
        <v>585</v>
      </c>
      <c r="B285" s="57"/>
      <c r="C285" s="57">
        <v>30</v>
      </c>
      <c r="D285" s="59">
        <f>SUM(B120:B141)*$C$285*D172</f>
        <v>860077.04647499998</v>
      </c>
      <c r="E285" s="59">
        <f t="shared" ref="E285:J285" si="133">SUM(C120:C141)*$C$285*E173</f>
        <v>967371.65802275622</v>
      </c>
      <c r="F285" s="59">
        <f t="shared" si="133"/>
        <v>1075956.3851402251</v>
      </c>
      <c r="G285" s="59">
        <f t="shared" si="133"/>
        <v>1187981.4204435938</v>
      </c>
      <c r="H285" s="59">
        <f t="shared" si="133"/>
        <v>1303446.7639328626</v>
      </c>
      <c r="I285" s="59">
        <f t="shared" si="133"/>
        <v>1422352.4156080319</v>
      </c>
      <c r="J285" s="59">
        <f t="shared" si="133"/>
        <v>1544698.3754691004</v>
      </c>
      <c r="K285" s="175">
        <f t="shared" si="130"/>
        <v>28669.234882500001</v>
      </c>
      <c r="L285" s="52"/>
    </row>
    <row r="286" spans="1:12" ht="15.75" hidden="1" customHeight="1">
      <c r="A286" s="115"/>
      <c r="B286" s="115"/>
      <c r="C286" s="115"/>
      <c r="D286" s="115"/>
      <c r="E286" s="115"/>
      <c r="F286" s="115"/>
      <c r="G286" s="115"/>
      <c r="H286" s="115"/>
      <c r="I286" s="115"/>
      <c r="J286" s="115"/>
      <c r="K286" s="52"/>
      <c r="L286" s="52"/>
    </row>
    <row r="287" spans="1:12" ht="15.75" hidden="1" customHeight="1">
      <c r="A287" s="115"/>
      <c r="B287" s="115"/>
      <c r="C287" s="115"/>
      <c r="D287" s="115"/>
      <c r="E287" s="115"/>
      <c r="F287" s="115"/>
      <c r="G287" s="115"/>
      <c r="H287" s="115"/>
      <c r="I287" s="115"/>
      <c r="J287" s="115"/>
      <c r="K287" s="52"/>
      <c r="L287" s="52"/>
    </row>
    <row r="288" spans="1:12" ht="15.75" customHeight="1">
      <c r="A288" s="115"/>
      <c r="B288" s="115"/>
      <c r="C288" s="115"/>
      <c r="D288" s="115"/>
      <c r="E288" s="115"/>
      <c r="F288" s="115"/>
      <c r="G288" s="115"/>
      <c r="H288" s="115"/>
      <c r="I288" s="115"/>
      <c r="J288" s="115"/>
      <c r="K288" s="52"/>
      <c r="L288" s="52"/>
    </row>
    <row r="289" spans="1:20" ht="15.75" customHeight="1">
      <c r="A289" s="57" t="s">
        <v>586</v>
      </c>
      <c r="B289" s="57"/>
      <c r="C289" s="57"/>
      <c r="D289" s="171"/>
      <c r="E289" s="171">
        <f>'5.Closing Stock &amp; W Capital'!F7</f>
        <v>3624288.1168439072</v>
      </c>
      <c r="F289" s="171">
        <f>'5.Closing Stock &amp; W Capital'!G7</f>
        <v>4076418.0594201847</v>
      </c>
      <c r="G289" s="171">
        <f>'5.Closing Stock &amp; W Capital'!H7</f>
        <v>4533984.4341717279</v>
      </c>
      <c r="H289" s="171">
        <f>'5.Closing Stock &amp; W Capital'!I7</f>
        <v>5006047.9613906471</v>
      </c>
      <c r="I289" s="171">
        <f>'5.Closing Stock &amp; W Capital'!J7</f>
        <v>5492608.6410769429</v>
      </c>
      <c r="J289" s="171">
        <f>'5.Closing Stock &amp; W Capital'!K7</f>
        <v>5993666.4732306134</v>
      </c>
      <c r="K289" s="52"/>
      <c r="L289" s="52"/>
    </row>
    <row r="290" spans="1:20" ht="15.75" customHeight="1">
      <c r="A290" s="57" t="s">
        <v>587</v>
      </c>
      <c r="B290" s="57"/>
      <c r="C290" s="171"/>
      <c r="D290" s="171">
        <f>'5.Closing Stock &amp; W Capital'!E15</f>
        <v>3624288.1168439072</v>
      </c>
      <c r="E290" s="171">
        <f>'5.Closing Stock &amp; W Capital'!F15</f>
        <v>4076418.0594201847</v>
      </c>
      <c r="F290" s="171">
        <f>'5.Closing Stock &amp; W Capital'!G15</f>
        <v>4533984.4341717279</v>
      </c>
      <c r="G290" s="171">
        <f>'5.Closing Stock &amp; W Capital'!H15</f>
        <v>5006047.9613906471</v>
      </c>
      <c r="H290" s="171">
        <f>'5.Closing Stock &amp; W Capital'!I15</f>
        <v>5492608.6410769429</v>
      </c>
      <c r="I290" s="171">
        <f>'5.Closing Stock &amp; W Capital'!J15</f>
        <v>5993666.4732306134</v>
      </c>
      <c r="J290" s="171">
        <f>'5.Closing Stock &amp; W Capital'!K15</f>
        <v>6509221.4578516595</v>
      </c>
      <c r="K290" s="52"/>
      <c r="L290" s="52"/>
    </row>
    <row r="291" spans="1:20" ht="15.75" customHeight="1">
      <c r="A291" s="57"/>
      <c r="B291" s="57"/>
      <c r="C291" s="59"/>
      <c r="D291" s="171"/>
      <c r="E291" s="171"/>
      <c r="F291" s="171"/>
      <c r="G291" s="171"/>
      <c r="H291" s="171"/>
      <c r="I291" s="171"/>
      <c r="J291" s="171"/>
      <c r="K291" s="52"/>
      <c r="L291" s="52"/>
      <c r="M291" s="52"/>
      <c r="N291" s="52"/>
      <c r="O291" s="52"/>
      <c r="P291" s="52"/>
      <c r="Q291" s="52"/>
      <c r="R291" s="52"/>
      <c r="S291" s="52"/>
      <c r="T291" s="52"/>
    </row>
    <row r="292" spans="1:20" ht="15.75" customHeight="1">
      <c r="A292" s="60" t="s">
        <v>353</v>
      </c>
      <c r="B292" s="60"/>
      <c r="C292" s="60"/>
      <c r="D292" s="61">
        <f t="shared" ref="D292:J292" si="134">SUM(D233:D289)-D290</f>
        <v>178450194.77182645</v>
      </c>
      <c r="E292" s="61">
        <f t="shared" si="134"/>
        <v>204336144.6864557</v>
      </c>
      <c r="F292" s="61">
        <f t="shared" si="134"/>
        <v>227317611.71897507</v>
      </c>
      <c r="G292" s="61">
        <f t="shared" si="134"/>
        <v>251018315.96275705</v>
      </c>
      <c r="H292" s="61">
        <f t="shared" si="134"/>
        <v>275447318.13809377</v>
      </c>
      <c r="I292" s="61">
        <f t="shared" si="134"/>
        <v>300604618.24498504</v>
      </c>
      <c r="J292" s="61">
        <f t="shared" si="134"/>
        <v>326490216.28343099</v>
      </c>
      <c r="K292" s="52"/>
      <c r="L292" s="52"/>
      <c r="M292" s="52"/>
      <c r="N292" s="52"/>
      <c r="O292" s="52"/>
      <c r="P292" s="52"/>
      <c r="Q292" s="52"/>
      <c r="R292" s="52"/>
      <c r="S292" s="52"/>
      <c r="T292" s="52"/>
    </row>
    <row r="293" spans="1:20" ht="15.75" customHeight="1">
      <c r="A293" s="60" t="s">
        <v>354</v>
      </c>
      <c r="B293" s="57"/>
      <c r="C293" s="57"/>
      <c r="D293" s="141"/>
      <c r="E293" s="141"/>
      <c r="F293" s="141"/>
      <c r="G293" s="141"/>
      <c r="H293" s="141"/>
      <c r="I293" s="57"/>
      <c r="J293" s="57"/>
      <c r="K293" s="52"/>
      <c r="L293" s="52"/>
      <c r="M293" s="52"/>
      <c r="N293" s="52"/>
      <c r="O293" s="52"/>
      <c r="P293" s="52"/>
      <c r="Q293" s="52"/>
      <c r="R293" s="52"/>
      <c r="S293" s="52"/>
      <c r="T293" s="52"/>
    </row>
    <row r="294" spans="1:20" ht="15.75" customHeight="1">
      <c r="A294" s="57" t="s">
        <v>588</v>
      </c>
      <c r="B294" s="57">
        <v>1</v>
      </c>
      <c r="C294" s="59">
        <f>20000-1000</f>
        <v>19000</v>
      </c>
      <c r="D294" s="59">
        <f>$B$294*$C$294*12*D172</f>
        <v>228000</v>
      </c>
      <c r="E294" s="59">
        <f t="shared" ref="E294:J294" si="135">$B$294*$C$294*12*E172</f>
        <v>232560</v>
      </c>
      <c r="F294" s="59">
        <f t="shared" si="135"/>
        <v>237120</v>
      </c>
      <c r="G294" s="59">
        <f t="shared" si="135"/>
        <v>241680</v>
      </c>
      <c r="H294" s="59">
        <f t="shared" si="135"/>
        <v>246240.00000000003</v>
      </c>
      <c r="I294" s="59">
        <f t="shared" si="135"/>
        <v>250800.00000000003</v>
      </c>
      <c r="J294" s="59">
        <f t="shared" si="135"/>
        <v>255360.00000000003</v>
      </c>
      <c r="K294" s="52"/>
      <c r="L294" s="52"/>
      <c r="M294" s="52"/>
      <c r="N294" s="52"/>
      <c r="O294" s="52"/>
      <c r="P294" s="52"/>
      <c r="Q294" s="52"/>
      <c r="R294" s="52"/>
      <c r="S294" s="52"/>
      <c r="T294" s="52"/>
    </row>
    <row r="295" spans="1:20" ht="15.75" hidden="1" customHeight="1">
      <c r="A295" s="57"/>
      <c r="B295" s="57"/>
      <c r="C295" s="59"/>
      <c r="D295" s="59"/>
      <c r="E295" s="59"/>
      <c r="F295" s="59"/>
      <c r="G295" s="59"/>
      <c r="H295" s="59"/>
      <c r="I295" s="59"/>
      <c r="J295" s="59"/>
      <c r="K295" s="52"/>
      <c r="L295" s="52"/>
      <c r="M295" s="52"/>
      <c r="N295" s="175"/>
      <c r="O295" s="52"/>
      <c r="P295" s="52"/>
      <c r="Q295" s="52"/>
      <c r="R295" s="52"/>
      <c r="S295" s="52"/>
      <c r="T295" s="52"/>
    </row>
    <row r="296" spans="1:20" ht="15.75" hidden="1" customHeight="1">
      <c r="A296" s="57"/>
      <c r="B296" s="57"/>
      <c r="C296" s="59"/>
      <c r="D296" s="59"/>
      <c r="E296" s="59"/>
      <c r="F296" s="59"/>
      <c r="G296" s="59"/>
      <c r="H296" s="59"/>
      <c r="I296" s="59"/>
      <c r="J296" s="59"/>
      <c r="K296" s="52"/>
      <c r="L296" s="52"/>
      <c r="M296" s="52"/>
      <c r="N296" s="52"/>
      <c r="O296" s="52"/>
      <c r="P296" s="52"/>
      <c r="Q296" s="52"/>
      <c r="R296" s="52"/>
      <c r="S296" s="52"/>
      <c r="T296" s="52"/>
    </row>
    <row r="297" spans="1:20" ht="15.75" hidden="1" customHeight="1">
      <c r="A297" s="57"/>
      <c r="B297" s="57"/>
      <c r="C297" s="59"/>
      <c r="D297" s="59"/>
      <c r="E297" s="59"/>
      <c r="F297" s="59"/>
      <c r="G297" s="59"/>
      <c r="H297" s="59"/>
      <c r="I297" s="59"/>
      <c r="J297" s="59"/>
      <c r="K297" s="52"/>
      <c r="L297" s="52"/>
      <c r="M297" s="52"/>
      <c r="N297" s="52"/>
      <c r="O297" s="52"/>
      <c r="P297" s="52"/>
      <c r="Q297" s="52"/>
      <c r="R297" s="52"/>
      <c r="S297" s="52"/>
      <c r="T297" s="52"/>
    </row>
    <row r="298" spans="1:20" ht="15.75" hidden="1" customHeight="1">
      <c r="A298" s="57"/>
      <c r="B298" s="57"/>
      <c r="C298" s="59"/>
      <c r="D298" s="59"/>
      <c r="E298" s="59"/>
      <c r="F298" s="59"/>
      <c r="G298" s="59"/>
      <c r="H298" s="59"/>
      <c r="I298" s="59"/>
      <c r="J298" s="59"/>
      <c r="K298" s="52"/>
      <c r="L298" s="52"/>
      <c r="M298" s="52"/>
      <c r="N298" s="52"/>
      <c r="O298" s="52"/>
      <c r="P298" s="52"/>
      <c r="Q298" s="52"/>
      <c r="R298" s="52"/>
      <c r="S298" s="52"/>
      <c r="T298" s="52"/>
    </row>
    <row r="299" spans="1:20" ht="15.75" hidden="1" customHeight="1">
      <c r="A299" s="57"/>
      <c r="B299" s="57"/>
      <c r="C299" s="59"/>
      <c r="D299" s="59"/>
      <c r="E299" s="59"/>
      <c r="F299" s="59"/>
      <c r="G299" s="59"/>
      <c r="H299" s="59"/>
      <c r="I299" s="59"/>
      <c r="J299" s="59"/>
      <c r="K299" s="52"/>
      <c r="L299" s="52"/>
      <c r="M299" s="52"/>
      <c r="N299" s="52"/>
      <c r="O299" s="52"/>
      <c r="P299" s="52"/>
      <c r="Q299" s="52"/>
      <c r="R299" s="52"/>
      <c r="S299" s="52"/>
      <c r="T299" s="52"/>
    </row>
    <row r="300" spans="1:20" ht="15.75" customHeight="1">
      <c r="A300" s="57"/>
      <c r="B300" s="57"/>
      <c r="C300" s="59"/>
      <c r="D300" s="59"/>
      <c r="E300" s="59"/>
      <c r="F300" s="59"/>
      <c r="G300" s="59"/>
      <c r="H300" s="59"/>
      <c r="I300" s="59"/>
      <c r="J300" s="59"/>
      <c r="K300" s="52"/>
      <c r="L300" s="52"/>
      <c r="M300" s="52"/>
      <c r="N300" s="52"/>
      <c r="O300" s="52"/>
      <c r="P300" s="52"/>
      <c r="Q300" s="52"/>
      <c r="R300" s="52"/>
      <c r="S300" s="52"/>
      <c r="T300" s="52"/>
    </row>
    <row r="301" spans="1:20" ht="15.75" customHeight="1">
      <c r="A301" s="60" t="s">
        <v>356</v>
      </c>
      <c r="B301" s="60"/>
      <c r="C301" s="60"/>
      <c r="D301" s="61">
        <f t="shared" ref="D301:J301" si="136">SUM(D294:D300)</f>
        <v>228000</v>
      </c>
      <c r="E301" s="61">
        <f t="shared" si="136"/>
        <v>232560</v>
      </c>
      <c r="F301" s="61">
        <f t="shared" si="136"/>
        <v>237120</v>
      </c>
      <c r="G301" s="61">
        <f t="shared" si="136"/>
        <v>241680</v>
      </c>
      <c r="H301" s="61">
        <f t="shared" si="136"/>
        <v>246240.00000000003</v>
      </c>
      <c r="I301" s="61">
        <f t="shared" si="136"/>
        <v>250800.00000000003</v>
      </c>
      <c r="J301" s="61">
        <f t="shared" si="136"/>
        <v>255360.00000000003</v>
      </c>
      <c r="K301" s="52"/>
      <c r="L301" s="52"/>
      <c r="M301" s="52"/>
      <c r="N301" s="175"/>
      <c r="O301" s="52"/>
      <c r="P301" s="52"/>
      <c r="Q301" s="52"/>
      <c r="R301" s="52"/>
      <c r="S301" s="52"/>
      <c r="T301" s="52"/>
    </row>
    <row r="302" spans="1:20" ht="15.75" customHeight="1">
      <c r="A302" s="60" t="s">
        <v>589</v>
      </c>
      <c r="B302" s="60"/>
      <c r="C302" s="60"/>
      <c r="D302" s="61">
        <f t="shared" ref="D302:J302" si="137">D292+D301</f>
        <v>178678194.77182645</v>
      </c>
      <c r="E302" s="61">
        <f t="shared" si="137"/>
        <v>204568704.6864557</v>
      </c>
      <c r="F302" s="61">
        <f t="shared" si="137"/>
        <v>227554731.71897507</v>
      </c>
      <c r="G302" s="61">
        <f t="shared" si="137"/>
        <v>251259995.96275705</v>
      </c>
      <c r="H302" s="61">
        <f t="shared" si="137"/>
        <v>275693558.13809377</v>
      </c>
      <c r="I302" s="61">
        <f t="shared" si="137"/>
        <v>300855418.24498504</v>
      </c>
      <c r="J302" s="61">
        <f t="shared" si="137"/>
        <v>326745576.28343099</v>
      </c>
      <c r="K302" s="52"/>
      <c r="L302" s="52"/>
      <c r="M302" s="52"/>
      <c r="N302" s="52"/>
      <c r="O302" s="52"/>
      <c r="P302" s="52"/>
      <c r="Q302" s="52"/>
      <c r="R302" s="52"/>
      <c r="S302" s="52"/>
      <c r="T302" s="52"/>
    </row>
    <row r="303" spans="1:20" ht="15.75" customHeight="1">
      <c r="A303" s="57"/>
      <c r="B303" s="57"/>
      <c r="C303" s="57"/>
      <c r="D303" s="141"/>
      <c r="E303" s="141"/>
      <c r="F303" s="141"/>
      <c r="G303" s="141"/>
      <c r="H303" s="141"/>
      <c r="I303" s="57"/>
      <c r="J303" s="57"/>
      <c r="K303" s="52"/>
      <c r="L303" s="52"/>
      <c r="M303" s="52"/>
      <c r="N303" s="52"/>
      <c r="O303" s="52"/>
      <c r="P303" s="52"/>
      <c r="Q303" s="52"/>
      <c r="R303" s="52"/>
      <c r="S303" s="52"/>
      <c r="T303" s="52"/>
    </row>
    <row r="304" spans="1:20" ht="15.75" customHeight="1">
      <c r="A304" s="60"/>
      <c r="B304" s="60"/>
      <c r="C304" s="60"/>
      <c r="D304" s="141"/>
      <c r="E304" s="141"/>
      <c r="F304" s="141"/>
      <c r="G304" s="141"/>
      <c r="H304" s="141"/>
      <c r="I304" s="57"/>
      <c r="J304" s="57"/>
      <c r="K304" s="52"/>
      <c r="L304" s="52"/>
      <c r="M304" s="52"/>
      <c r="N304" s="52"/>
      <c r="O304" s="52"/>
      <c r="P304" s="52"/>
      <c r="Q304" s="52"/>
      <c r="R304" s="52"/>
      <c r="S304" s="52"/>
      <c r="T304" s="52"/>
    </row>
    <row r="305" spans="1:20" ht="15.75" customHeight="1">
      <c r="A305" s="60" t="s">
        <v>590</v>
      </c>
      <c r="B305" s="60"/>
      <c r="C305" s="60"/>
      <c r="D305" s="61">
        <f t="shared" ref="D305:J305" si="138">D229-D302</f>
        <v>2293827.4424985349</v>
      </c>
      <c r="E305" s="61">
        <f t="shared" si="138"/>
        <v>2238822.8533304334</v>
      </c>
      <c r="F305" s="61">
        <f t="shared" si="138"/>
        <v>2511994.0593247712</v>
      </c>
      <c r="G305" s="61">
        <f t="shared" si="138"/>
        <v>2804549.1570914388</v>
      </c>
      <c r="H305" s="61">
        <f t="shared" si="138"/>
        <v>3107427.4263383746</v>
      </c>
      <c r="I305" s="61">
        <f t="shared" si="138"/>
        <v>3420628.8670658469</v>
      </c>
      <c r="J305" s="61">
        <f t="shared" si="138"/>
        <v>3744153.4792736173</v>
      </c>
      <c r="K305" s="52"/>
      <c r="L305" s="52"/>
      <c r="M305" s="52"/>
      <c r="N305" s="52"/>
      <c r="O305" s="52"/>
      <c r="P305" s="52"/>
      <c r="Q305" s="52"/>
      <c r="R305" s="52"/>
      <c r="S305" s="52"/>
      <c r="T305" s="52"/>
    </row>
    <row r="306" spans="1:20" ht="15.75" customHeight="1">
      <c r="A306" s="52"/>
      <c r="B306" s="52"/>
      <c r="C306" s="52"/>
      <c r="D306" s="52"/>
      <c r="E306" s="52"/>
      <c r="F306" s="52"/>
      <c r="G306" s="52"/>
      <c r="H306" s="52"/>
      <c r="I306" s="52"/>
      <c r="J306" s="52"/>
    </row>
    <row r="307" spans="1:20" ht="15.75" customHeight="1">
      <c r="A307" s="52" t="s">
        <v>591</v>
      </c>
      <c r="B307" s="52"/>
      <c r="C307" s="52"/>
      <c r="D307" s="52"/>
      <c r="E307" s="52"/>
      <c r="F307" s="52"/>
      <c r="G307" s="52"/>
      <c r="H307" s="52"/>
      <c r="I307" s="52"/>
      <c r="J307" s="52"/>
    </row>
    <row r="308" spans="1:20" ht="15.75" customHeight="1">
      <c r="A308" s="269" t="s">
        <v>592</v>
      </c>
      <c r="B308" s="251"/>
      <c r="C308" s="251"/>
      <c r="D308" s="251"/>
      <c r="E308" s="251"/>
      <c r="F308" s="251"/>
      <c r="G308" s="251"/>
      <c r="H308" s="251"/>
      <c r="I308" s="251"/>
      <c r="J308" s="251"/>
    </row>
    <row r="309" spans="1:20" ht="15.75" customHeight="1"/>
    <row r="310" spans="1:20" ht="15.75" customHeight="1">
      <c r="A310" t="s">
        <v>314</v>
      </c>
    </row>
    <row r="311" spans="1:20" ht="15.75" customHeight="1">
      <c r="A311">
        <v>1</v>
      </c>
      <c r="B311" t="s">
        <v>593</v>
      </c>
    </row>
    <row r="312" spans="1:20" ht="15.75" customHeight="1">
      <c r="A312">
        <v>2</v>
      </c>
      <c r="B312" t="s">
        <v>594</v>
      </c>
    </row>
    <row r="313" spans="1:20" ht="15.75" customHeight="1">
      <c r="A313">
        <v>3</v>
      </c>
      <c r="B313" s="52" t="s">
        <v>595</v>
      </c>
    </row>
  </sheetData>
  <mergeCells count="5">
    <mergeCell ref="A170:J170"/>
    <mergeCell ref="A2:H2"/>
    <mergeCell ref="A308:J308"/>
    <mergeCell ref="F4:H4"/>
    <mergeCell ref="A3:H3"/>
  </mergeCells>
  <pageMargins left="0.7" right="0.7" top="0.75" bottom="0.75" header="0" footer="0"/>
  <pageSetup paperSize="9" scale="45" orientation="portrait" r:id="rId1"/>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M189"/>
  <sheetViews>
    <sheetView view="pageBreakPreview" topLeftCell="A175" zoomScale="111" zoomScaleSheetLayoutView="72" workbookViewId="0">
      <selection activeCell="C177" sqref="C177"/>
    </sheetView>
  </sheetViews>
  <sheetFormatPr defaultColWidth="14.42578125" defaultRowHeight="15" customHeight="1"/>
  <cols>
    <col min="1" max="1" width="41.7109375" customWidth="1"/>
    <col min="2" max="3" width="10.5703125" customWidth="1"/>
    <col min="4" max="4" width="15.140625" customWidth="1"/>
    <col min="5" max="8" width="17.28515625" customWidth="1"/>
    <col min="9" max="10" width="16.85546875" customWidth="1"/>
    <col min="11" max="11" width="14" bestFit="1" customWidth="1"/>
    <col min="12" max="12" width="14.5703125" bestFit="1" customWidth="1"/>
  </cols>
  <sheetData>
    <row r="3" spans="1:8" ht="18.75">
      <c r="A3" s="267" t="s">
        <v>596</v>
      </c>
      <c r="B3" s="251"/>
      <c r="C3" s="251"/>
      <c r="D3" s="251"/>
      <c r="E3" s="251"/>
      <c r="F3" s="251"/>
      <c r="G3" s="251"/>
      <c r="H3" s="251"/>
    </row>
    <row r="4" spans="1:8" ht="18.75">
      <c r="A4" s="267" t="s">
        <v>597</v>
      </c>
      <c r="B4" s="251"/>
      <c r="C4" s="251"/>
      <c r="D4" s="251"/>
      <c r="E4" s="251"/>
      <c r="F4" s="251"/>
      <c r="G4" s="251"/>
      <c r="H4" s="251"/>
    </row>
    <row r="5" spans="1:8">
      <c r="A5" s="52" t="s">
        <v>130</v>
      </c>
      <c r="B5" s="202">
        <v>20</v>
      </c>
      <c r="C5" s="52" t="s">
        <v>598</v>
      </c>
      <c r="D5" s="52"/>
      <c r="E5" s="52"/>
      <c r="F5" s="52"/>
      <c r="G5" s="52"/>
      <c r="H5" s="52"/>
    </row>
    <row r="6" spans="1:8">
      <c r="A6" s="52" t="s">
        <v>566</v>
      </c>
      <c r="B6" s="202">
        <v>8</v>
      </c>
      <c r="C6" s="52"/>
      <c r="D6" s="52"/>
      <c r="E6" s="52"/>
      <c r="F6" s="52"/>
      <c r="G6" s="52"/>
      <c r="H6" s="52"/>
    </row>
    <row r="7" spans="1:8">
      <c r="A7" s="52"/>
      <c r="B7" s="202"/>
      <c r="C7" s="52"/>
      <c r="D7" s="52"/>
      <c r="E7" s="52"/>
      <c r="F7" s="52"/>
      <c r="G7" s="52"/>
      <c r="H7" s="52"/>
    </row>
    <row r="8" spans="1:8" hidden="1">
      <c r="A8" s="52"/>
      <c r="B8" s="202"/>
      <c r="C8" s="52"/>
      <c r="D8" s="52"/>
      <c r="E8" s="52"/>
      <c r="F8" s="52"/>
      <c r="G8" s="52"/>
      <c r="H8" s="52"/>
    </row>
    <row r="9" spans="1:8" hidden="1">
      <c r="A9" s="52"/>
      <c r="B9" s="52"/>
      <c r="C9" s="52"/>
      <c r="D9" s="52"/>
      <c r="E9" s="52"/>
      <c r="F9" s="52"/>
      <c r="G9" s="52"/>
      <c r="H9" s="52"/>
    </row>
    <row r="10" spans="1:8" hidden="1">
      <c r="A10" s="52"/>
      <c r="B10" s="52"/>
      <c r="C10" s="52"/>
      <c r="D10" s="52"/>
      <c r="E10" s="52"/>
      <c r="F10" s="52"/>
      <c r="G10" s="52"/>
      <c r="H10" s="52"/>
    </row>
    <row r="11" spans="1:8">
      <c r="A11" s="105" t="s">
        <v>150</v>
      </c>
      <c r="B11" s="106" t="s">
        <v>153</v>
      </c>
      <c r="C11" s="106" t="s">
        <v>154</v>
      </c>
      <c r="D11" s="106" t="s">
        <v>155</v>
      </c>
      <c r="E11" s="106" t="s">
        <v>156</v>
      </c>
      <c r="F11" s="106" t="s">
        <v>157</v>
      </c>
      <c r="G11" s="106" t="s">
        <v>158</v>
      </c>
      <c r="H11" s="106" t="s">
        <v>159</v>
      </c>
    </row>
    <row r="12" spans="1:8">
      <c r="A12" s="57" t="s">
        <v>599</v>
      </c>
      <c r="B12" s="176">
        <f t="shared" ref="B12:H12" si="0">B32/($B$5*$B$6)</f>
        <v>25.167978749999996</v>
      </c>
      <c r="C12" s="176">
        <f t="shared" si="0"/>
        <v>27.684776625000001</v>
      </c>
      <c r="D12" s="176">
        <f t="shared" si="0"/>
        <v>30.2015745</v>
      </c>
      <c r="E12" s="176">
        <f t="shared" si="0"/>
        <v>32.718372374999994</v>
      </c>
      <c r="F12" s="176">
        <f t="shared" si="0"/>
        <v>35.235170249999996</v>
      </c>
      <c r="G12" s="176">
        <f t="shared" si="0"/>
        <v>37.751968125000005</v>
      </c>
      <c r="H12" s="176">
        <f t="shared" si="0"/>
        <v>40.268765999999999</v>
      </c>
    </row>
    <row r="13" spans="1:8" hidden="1">
      <c r="A13" s="57" t="str">
        <f>'10.Grain Production details'!A67</f>
        <v>Soybean</v>
      </c>
      <c r="B13" s="57">
        <f>'10.Grain Production details'!B67</f>
        <v>0</v>
      </c>
      <c r="C13" s="57">
        <f>'10.Grain Production details'!C67</f>
        <v>0</v>
      </c>
      <c r="D13" s="57">
        <f>'10.Grain Production details'!D67</f>
        <v>0</v>
      </c>
      <c r="E13" s="57">
        <f>'10.Grain Production details'!E67</f>
        <v>0</v>
      </c>
      <c r="F13" s="57">
        <f>'10.Grain Production details'!F67</f>
        <v>0</v>
      </c>
      <c r="G13" s="57">
        <f>'10.Grain Production details'!G67</f>
        <v>0</v>
      </c>
      <c r="H13" s="57">
        <f>'10.Grain Production details'!H67</f>
        <v>0</v>
      </c>
    </row>
    <row r="14" spans="1:8">
      <c r="A14" s="57" t="str">
        <f>'10.Grain Production details'!A68</f>
        <v>Red Gram/Tur</v>
      </c>
      <c r="B14" s="57">
        <f>'10.Grain Production details'!B68</f>
        <v>976.524</v>
      </c>
      <c r="C14" s="57">
        <f>'10.Grain Production details'!C68</f>
        <v>1074.1764000000001</v>
      </c>
      <c r="D14" s="57">
        <f>'10.Grain Production details'!D68</f>
        <v>1171.8288</v>
      </c>
      <c r="E14" s="57">
        <f>'10.Grain Production details'!E68</f>
        <v>1269.4811999999999</v>
      </c>
      <c r="F14" s="57">
        <f>'10.Grain Production details'!F68</f>
        <v>1367.1336000000001</v>
      </c>
      <c r="G14" s="57">
        <f>'10.Grain Production details'!G68</f>
        <v>1464.7860000000003</v>
      </c>
      <c r="H14" s="57">
        <f>'10.Grain Production details'!H68</f>
        <v>1562.4384000000002</v>
      </c>
    </row>
    <row r="15" spans="1:8" hidden="1">
      <c r="A15" s="57" t="str">
        <f>'10.Grain Production details'!A69</f>
        <v>Paddy/Rice</v>
      </c>
      <c r="B15" s="57">
        <f>'10.Grain Production details'!B69</f>
        <v>0</v>
      </c>
      <c r="C15" s="57">
        <f>'10.Grain Production details'!C69</f>
        <v>0</v>
      </c>
      <c r="D15" s="57">
        <f>'10.Grain Production details'!D69</f>
        <v>0</v>
      </c>
      <c r="E15" s="57">
        <f>'10.Grain Production details'!E69</f>
        <v>0</v>
      </c>
      <c r="F15" s="57">
        <f>'10.Grain Production details'!F69</f>
        <v>0</v>
      </c>
      <c r="G15" s="57">
        <f>'10.Grain Production details'!G69</f>
        <v>0</v>
      </c>
      <c r="H15" s="57">
        <f>'10.Grain Production details'!H69</f>
        <v>0</v>
      </c>
    </row>
    <row r="16" spans="1:8">
      <c r="A16" s="57" t="str">
        <f>'10.Grain Production details'!A70</f>
        <v>Green Gram/ Moong</v>
      </c>
      <c r="B16" s="57">
        <f>'10.Grain Production details'!B70</f>
        <v>629.601</v>
      </c>
      <c r="C16" s="57">
        <f>'10.Grain Production details'!C70</f>
        <v>692.5610999999999</v>
      </c>
      <c r="D16" s="57">
        <f>'10.Grain Production details'!D70</f>
        <v>755.52119999999991</v>
      </c>
      <c r="E16" s="57">
        <f>'10.Grain Production details'!E70</f>
        <v>818.48129999999992</v>
      </c>
      <c r="F16" s="57">
        <f>'10.Grain Production details'!F70</f>
        <v>881.44139999999993</v>
      </c>
      <c r="G16" s="57">
        <f>'10.Grain Production details'!G70</f>
        <v>944.40150000000006</v>
      </c>
      <c r="H16" s="57">
        <f>'10.Grain Production details'!H70</f>
        <v>1007.3616000000001</v>
      </c>
    </row>
    <row r="17" spans="1:8" hidden="1">
      <c r="A17" s="57" t="str">
        <f>'10.Grain Production details'!A71</f>
        <v>Maize</v>
      </c>
      <c r="B17" s="57">
        <f>'10.Grain Production details'!B71</f>
        <v>0</v>
      </c>
      <c r="C17" s="57">
        <f>'10.Grain Production details'!C71</f>
        <v>0</v>
      </c>
      <c r="D17" s="57">
        <f>'10.Grain Production details'!D71</f>
        <v>0</v>
      </c>
      <c r="E17" s="57">
        <f>'10.Grain Production details'!E71</f>
        <v>0</v>
      </c>
      <c r="F17" s="57">
        <f>'10.Grain Production details'!F71</f>
        <v>0</v>
      </c>
      <c r="G17" s="57">
        <f>'10.Grain Production details'!G71</f>
        <v>0</v>
      </c>
      <c r="H17" s="57">
        <f>'10.Grain Production details'!H71</f>
        <v>0</v>
      </c>
    </row>
    <row r="18" spans="1:8">
      <c r="A18" s="57" t="str">
        <f>'10.Grain Production details'!A72</f>
        <v>Black Gram/Udid</v>
      </c>
      <c r="B18" s="57">
        <f>'10.Grain Production details'!B72</f>
        <v>385.47</v>
      </c>
      <c r="C18" s="57">
        <f>'10.Grain Production details'!C72</f>
        <v>424.01700000000005</v>
      </c>
      <c r="D18" s="57">
        <f>'10.Grain Production details'!D72</f>
        <v>462.56400000000002</v>
      </c>
      <c r="E18" s="57">
        <f>'10.Grain Production details'!E72</f>
        <v>501.11100000000005</v>
      </c>
      <c r="F18" s="57">
        <f>'10.Grain Production details'!F72</f>
        <v>539.65800000000013</v>
      </c>
      <c r="G18" s="57">
        <f>'10.Grain Production details'!G72</f>
        <v>578.20500000000015</v>
      </c>
      <c r="H18" s="57">
        <f>'10.Grain Production details'!H72</f>
        <v>616.75200000000018</v>
      </c>
    </row>
    <row r="19" spans="1:8" hidden="1">
      <c r="A19" s="57" t="str">
        <f>'10.Grain Production details'!A73</f>
        <v>Bajra</v>
      </c>
      <c r="B19" s="57">
        <f>'10.Grain Production details'!B73</f>
        <v>0</v>
      </c>
      <c r="C19" s="57">
        <f>'10.Grain Production details'!C73</f>
        <v>0</v>
      </c>
      <c r="D19" s="57">
        <f>'10.Grain Production details'!D73</f>
        <v>0</v>
      </c>
      <c r="E19" s="57">
        <f>'10.Grain Production details'!E73</f>
        <v>0</v>
      </c>
      <c r="F19" s="57">
        <f>'10.Grain Production details'!F73</f>
        <v>0</v>
      </c>
      <c r="G19" s="57">
        <f>'10.Grain Production details'!G73</f>
        <v>0</v>
      </c>
      <c r="H19" s="57">
        <f>'10.Grain Production details'!H73</f>
        <v>0</v>
      </c>
    </row>
    <row r="20" spans="1:8" hidden="1">
      <c r="A20" s="57" t="str">
        <f>'10.Grain Production details'!A74</f>
        <v>Jawar</v>
      </c>
      <c r="B20" s="57">
        <f>'10.Grain Production details'!B74</f>
        <v>0</v>
      </c>
      <c r="C20" s="57">
        <f>'10.Grain Production details'!C74</f>
        <v>0</v>
      </c>
      <c r="D20" s="57">
        <f>'10.Grain Production details'!D74</f>
        <v>0</v>
      </c>
      <c r="E20" s="57">
        <f>'10.Grain Production details'!E74</f>
        <v>0</v>
      </c>
      <c r="F20" s="57">
        <f>'10.Grain Production details'!F74</f>
        <v>0</v>
      </c>
      <c r="G20" s="57">
        <f>'10.Grain Production details'!G74</f>
        <v>0</v>
      </c>
      <c r="H20" s="57">
        <f>'10.Grain Production details'!H74</f>
        <v>0</v>
      </c>
    </row>
    <row r="21" spans="1:8" ht="15.75" hidden="1" customHeight="1">
      <c r="A21" s="57" t="str">
        <f>'10.Grain Production details'!A75</f>
        <v>Sunflower</v>
      </c>
      <c r="B21" s="57">
        <f>'10.Grain Production details'!B75</f>
        <v>0</v>
      </c>
      <c r="C21" s="57">
        <f>'10.Grain Production details'!C75</f>
        <v>0</v>
      </c>
      <c r="D21" s="57">
        <f>'10.Grain Production details'!D75</f>
        <v>0</v>
      </c>
      <c r="E21" s="57">
        <f>'10.Grain Production details'!E75</f>
        <v>0</v>
      </c>
      <c r="F21" s="57">
        <f>'10.Grain Production details'!F75</f>
        <v>0</v>
      </c>
      <c r="G21" s="57">
        <f>'10.Grain Production details'!G75</f>
        <v>0</v>
      </c>
      <c r="H21" s="57">
        <f>'10.Grain Production details'!H75</f>
        <v>0</v>
      </c>
    </row>
    <row r="22" spans="1:8" ht="15.75" customHeight="1">
      <c r="A22" s="57" t="str">
        <f>'10.Grain Production details'!A76</f>
        <v>Wheat</v>
      </c>
      <c r="B22" s="57">
        <f>'10.Grain Production details'!B76</f>
        <v>416.30759999999992</v>
      </c>
      <c r="C22" s="57">
        <f>'10.Grain Production details'!C76</f>
        <v>457.93835999999993</v>
      </c>
      <c r="D22" s="57">
        <f>'10.Grain Production details'!D76</f>
        <v>499.56911999999988</v>
      </c>
      <c r="E22" s="57">
        <f>'10.Grain Production details'!E76</f>
        <v>541.19987999999989</v>
      </c>
      <c r="F22" s="57">
        <f>'10.Grain Production details'!F76</f>
        <v>582.8306399999999</v>
      </c>
      <c r="G22" s="57">
        <f>'10.Grain Production details'!G76</f>
        <v>624.46139999999991</v>
      </c>
      <c r="H22" s="57">
        <f>'10.Grain Production details'!H76</f>
        <v>666.09216000000004</v>
      </c>
    </row>
    <row r="23" spans="1:8" ht="15.75" customHeight="1">
      <c r="A23" s="57" t="str">
        <f>'10.Grain Production details'!A77</f>
        <v>Bengal Gram/Channa</v>
      </c>
      <c r="B23" s="57">
        <f>'10.Grain Production details'!B77</f>
        <v>1618.9739999999999</v>
      </c>
      <c r="C23" s="57">
        <f>'10.Grain Production details'!C77</f>
        <v>1780.8713999999998</v>
      </c>
      <c r="D23" s="57">
        <f>'10.Grain Production details'!D77</f>
        <v>1942.7687999999996</v>
      </c>
      <c r="E23" s="57">
        <f>'10.Grain Production details'!E77</f>
        <v>2104.6661999999997</v>
      </c>
      <c r="F23" s="57">
        <f>'10.Grain Production details'!F77</f>
        <v>2266.5635999999995</v>
      </c>
      <c r="G23" s="57">
        <f>'10.Grain Production details'!G77</f>
        <v>2428.4609999999993</v>
      </c>
      <c r="H23" s="57">
        <f>'10.Grain Production details'!H77</f>
        <v>2590.3583999999992</v>
      </c>
    </row>
    <row r="24" spans="1:8" ht="15.75" hidden="1" customHeight="1">
      <c r="A24" s="57" t="str">
        <f>'10.Grain Production details'!A78</f>
        <v>Jawar</v>
      </c>
      <c r="B24" s="57">
        <f>'10.Grain Production details'!B78</f>
        <v>0</v>
      </c>
      <c r="C24" s="57">
        <f>'10.Grain Production details'!C78</f>
        <v>0</v>
      </c>
      <c r="D24" s="57">
        <f>'10.Grain Production details'!D78</f>
        <v>0</v>
      </c>
      <c r="E24" s="57">
        <f>'10.Grain Production details'!E78</f>
        <v>0</v>
      </c>
      <c r="F24" s="57">
        <f>'10.Grain Production details'!F78</f>
        <v>0</v>
      </c>
      <c r="G24" s="57">
        <f>'10.Grain Production details'!G78</f>
        <v>0</v>
      </c>
      <c r="H24" s="57">
        <f>'10.Grain Production details'!H78</f>
        <v>0</v>
      </c>
    </row>
    <row r="25" spans="1:8" ht="15.75" hidden="1" customHeight="1">
      <c r="A25" s="57" t="str">
        <f>'10.Grain Production details'!A79</f>
        <v>Maize</v>
      </c>
      <c r="B25" s="57">
        <f>'10.Grain Production details'!B79</f>
        <v>0</v>
      </c>
      <c r="C25" s="57">
        <f>'10.Grain Production details'!C79</f>
        <v>0</v>
      </c>
      <c r="D25" s="57">
        <f>'10.Grain Production details'!D79</f>
        <v>0</v>
      </c>
      <c r="E25" s="57">
        <f>'10.Grain Production details'!E79</f>
        <v>0</v>
      </c>
      <c r="F25" s="57">
        <f>'10.Grain Production details'!F79</f>
        <v>0</v>
      </c>
      <c r="G25" s="57">
        <f>'10.Grain Production details'!G79</f>
        <v>0</v>
      </c>
      <c r="H25" s="57">
        <f>'10.Grain Production details'!H79</f>
        <v>0</v>
      </c>
    </row>
    <row r="26" spans="1:8" ht="15.75" hidden="1" customHeight="1">
      <c r="A26" s="57" t="str">
        <f>'10.Grain Production details'!A80</f>
        <v>Safflower</v>
      </c>
      <c r="B26" s="57">
        <f>'10.Grain Production details'!B80</f>
        <v>0</v>
      </c>
      <c r="C26" s="57">
        <f>'10.Grain Production details'!C80</f>
        <v>0</v>
      </c>
      <c r="D26" s="57">
        <f>'10.Grain Production details'!D80</f>
        <v>0</v>
      </c>
      <c r="E26" s="57">
        <f>'10.Grain Production details'!E80</f>
        <v>0</v>
      </c>
      <c r="F26" s="57">
        <f>'10.Grain Production details'!F80</f>
        <v>0</v>
      </c>
      <c r="G26" s="57">
        <f>'10.Grain Production details'!G80</f>
        <v>0</v>
      </c>
      <c r="H26" s="57">
        <f>'10.Grain Production details'!H80</f>
        <v>0</v>
      </c>
    </row>
    <row r="27" spans="1:8" ht="15.75" hidden="1" customHeight="1">
      <c r="A27" s="57">
        <f>'10.Grain Production details'!A81</f>
        <v>0</v>
      </c>
      <c r="B27" s="57">
        <f>'10.Grain Production details'!B81</f>
        <v>0</v>
      </c>
      <c r="C27" s="57">
        <f>'10.Grain Production details'!C81</f>
        <v>0</v>
      </c>
      <c r="D27" s="57">
        <f>'10.Grain Production details'!D81</f>
        <v>0</v>
      </c>
      <c r="E27" s="57">
        <f>'10.Grain Production details'!E81</f>
        <v>0</v>
      </c>
      <c r="F27" s="57">
        <f>'10.Grain Production details'!F81</f>
        <v>0</v>
      </c>
      <c r="G27" s="57">
        <f>'10.Grain Production details'!G81</f>
        <v>0</v>
      </c>
      <c r="H27" s="57">
        <f>'10.Grain Production details'!H81</f>
        <v>0</v>
      </c>
    </row>
    <row r="28" spans="1:8" ht="15.75" hidden="1" customHeight="1">
      <c r="A28" s="57">
        <f>'10.Grain Production details'!A82</f>
        <v>0</v>
      </c>
      <c r="B28" s="57">
        <f>'10.Grain Production details'!B82</f>
        <v>0</v>
      </c>
      <c r="C28" s="57">
        <f>'10.Grain Production details'!C82</f>
        <v>0</v>
      </c>
      <c r="D28" s="57">
        <f>'10.Grain Production details'!D82</f>
        <v>0</v>
      </c>
      <c r="E28" s="57">
        <f>'10.Grain Production details'!E82</f>
        <v>0</v>
      </c>
      <c r="F28" s="57">
        <f>'10.Grain Production details'!F82</f>
        <v>0</v>
      </c>
      <c r="G28" s="57">
        <f>'10.Grain Production details'!G82</f>
        <v>0</v>
      </c>
      <c r="H28" s="57">
        <f>'10.Grain Production details'!H82</f>
        <v>0</v>
      </c>
    </row>
    <row r="29" spans="1:8" ht="15.75" hidden="1" customHeight="1">
      <c r="A29" s="57">
        <f>'10.Grain Production details'!A83</f>
        <v>0</v>
      </c>
      <c r="B29" s="57">
        <f>'10.Grain Production details'!B83</f>
        <v>0</v>
      </c>
      <c r="C29" s="57">
        <f>'10.Grain Production details'!C83</f>
        <v>0</v>
      </c>
      <c r="D29" s="57">
        <f>'10.Grain Production details'!D83</f>
        <v>0</v>
      </c>
      <c r="E29" s="57">
        <f>'10.Grain Production details'!E83</f>
        <v>0</v>
      </c>
      <c r="F29" s="57">
        <f>'10.Grain Production details'!F83</f>
        <v>0</v>
      </c>
      <c r="G29" s="57">
        <f>'10.Grain Production details'!G83</f>
        <v>0</v>
      </c>
      <c r="H29" s="57">
        <f>'10.Grain Production details'!H83</f>
        <v>0</v>
      </c>
    </row>
    <row r="30" spans="1:8" ht="15.75" hidden="1" customHeight="1">
      <c r="A30" s="57" t="str">
        <f>'10.Grain Production details'!A84</f>
        <v>Groundnut</v>
      </c>
      <c r="B30" s="57">
        <f>'10.Grain Production details'!B84</f>
        <v>0</v>
      </c>
      <c r="C30" s="57">
        <f>'10.Grain Production details'!C84</f>
        <v>0</v>
      </c>
      <c r="D30" s="57">
        <f>'10.Grain Production details'!D84</f>
        <v>0</v>
      </c>
      <c r="E30" s="57">
        <f>'10.Grain Production details'!E84</f>
        <v>0</v>
      </c>
      <c r="F30" s="57">
        <f>'10.Grain Production details'!F84</f>
        <v>0</v>
      </c>
      <c r="G30" s="57">
        <f>'10.Grain Production details'!G84</f>
        <v>0</v>
      </c>
      <c r="H30" s="57">
        <f>'10.Grain Production details'!H84</f>
        <v>0</v>
      </c>
    </row>
    <row r="31" spans="1:8" ht="15.75" hidden="1" customHeight="1">
      <c r="A31" s="57">
        <f>'10.Grain Production details'!A85</f>
        <v>0</v>
      </c>
      <c r="B31" s="57">
        <f>'10.Grain Production details'!B85</f>
        <v>0</v>
      </c>
      <c r="C31" s="57">
        <f>'10.Grain Production details'!C85</f>
        <v>0</v>
      </c>
      <c r="D31" s="57">
        <f>'10.Grain Production details'!D85</f>
        <v>0</v>
      </c>
      <c r="E31" s="57">
        <f>'10.Grain Production details'!E85</f>
        <v>0</v>
      </c>
      <c r="F31" s="57">
        <f>'10.Grain Production details'!F85</f>
        <v>0</v>
      </c>
      <c r="G31" s="57">
        <f>'10.Grain Production details'!G85</f>
        <v>0</v>
      </c>
      <c r="H31" s="57">
        <f>'10.Grain Production details'!H85</f>
        <v>0</v>
      </c>
    </row>
    <row r="32" spans="1:8" ht="15.75" customHeight="1">
      <c r="A32" s="57" t="s">
        <v>600</v>
      </c>
      <c r="B32" s="57">
        <f t="shared" ref="B32:H32" si="1">SUM(B13:B31)</f>
        <v>4026.8765999999996</v>
      </c>
      <c r="C32" s="57">
        <f t="shared" si="1"/>
        <v>4429.5642600000001</v>
      </c>
      <c r="D32" s="57">
        <f t="shared" si="1"/>
        <v>4832.2519199999997</v>
      </c>
      <c r="E32" s="57">
        <f t="shared" si="1"/>
        <v>5234.9395799999993</v>
      </c>
      <c r="F32" s="57">
        <f t="shared" si="1"/>
        <v>5637.6272399999998</v>
      </c>
      <c r="G32" s="57">
        <f t="shared" si="1"/>
        <v>6040.3149000000003</v>
      </c>
      <c r="H32" s="57">
        <f t="shared" si="1"/>
        <v>6443.0025599999999</v>
      </c>
    </row>
    <row r="33" spans="1:8" ht="15.75" customHeight="1">
      <c r="A33" s="57" t="s">
        <v>725</v>
      </c>
      <c r="B33" s="108">
        <v>0.25</v>
      </c>
      <c r="C33" s="108">
        <f t="shared" ref="C33:H33" si="2">B33</f>
        <v>0.25</v>
      </c>
      <c r="D33" s="108">
        <f t="shared" si="2"/>
        <v>0.25</v>
      </c>
      <c r="E33" s="108">
        <f t="shared" si="2"/>
        <v>0.25</v>
      </c>
      <c r="F33" s="108">
        <f t="shared" si="2"/>
        <v>0.25</v>
      </c>
      <c r="G33" s="108">
        <f t="shared" si="2"/>
        <v>0.25</v>
      </c>
      <c r="H33" s="108">
        <f t="shared" si="2"/>
        <v>0.25</v>
      </c>
    </row>
    <row r="34" spans="1:8" ht="15.75" customHeight="1">
      <c r="A34" s="57" t="s">
        <v>601</v>
      </c>
      <c r="B34" s="108">
        <f t="shared" ref="B34:H34" si="3">1-B33</f>
        <v>0.75</v>
      </c>
      <c r="C34" s="108">
        <f t="shared" si="3"/>
        <v>0.75</v>
      </c>
      <c r="D34" s="108">
        <f t="shared" si="3"/>
        <v>0.75</v>
      </c>
      <c r="E34" s="108">
        <f t="shared" si="3"/>
        <v>0.75</v>
      </c>
      <c r="F34" s="108">
        <f t="shared" si="3"/>
        <v>0.75</v>
      </c>
      <c r="G34" s="108">
        <f t="shared" si="3"/>
        <v>0.75</v>
      </c>
      <c r="H34" s="108">
        <f t="shared" si="3"/>
        <v>0.75</v>
      </c>
    </row>
    <row r="35" spans="1:8" ht="15.75" customHeight="1">
      <c r="A35" s="60" t="s">
        <v>725</v>
      </c>
      <c r="B35" s="61">
        <f t="shared" ref="B35:H35" si="4">B32*B33</f>
        <v>1006.7191499999999</v>
      </c>
      <c r="C35" s="61">
        <f t="shared" si="4"/>
        <v>1107.391065</v>
      </c>
      <c r="D35" s="61">
        <f t="shared" si="4"/>
        <v>1208.0629799999999</v>
      </c>
      <c r="E35" s="61">
        <f t="shared" si="4"/>
        <v>1308.7348949999998</v>
      </c>
      <c r="F35" s="61">
        <f t="shared" si="4"/>
        <v>1409.40681</v>
      </c>
      <c r="G35" s="61">
        <f t="shared" si="4"/>
        <v>1510.0787250000001</v>
      </c>
      <c r="H35" s="61">
        <f t="shared" si="4"/>
        <v>1610.75064</v>
      </c>
    </row>
    <row r="36" spans="1:8" ht="15.75" customHeight="1">
      <c r="A36" s="60" t="s">
        <v>726</v>
      </c>
      <c r="B36" s="61"/>
      <c r="C36" s="61"/>
      <c r="D36" s="61"/>
      <c r="E36" s="61"/>
      <c r="F36" s="61"/>
      <c r="G36" s="61"/>
      <c r="H36" s="61"/>
    </row>
    <row r="37" spans="1:8" ht="15.75" hidden="1" customHeight="1">
      <c r="A37" s="57" t="str">
        <f t="shared" ref="A37:A55" si="5">A13</f>
        <v>Soybean</v>
      </c>
      <c r="B37" s="59">
        <f t="shared" ref="B37:H37" si="6">B13*$B$34</f>
        <v>0</v>
      </c>
      <c r="C37" s="59">
        <f t="shared" si="6"/>
        <v>0</v>
      </c>
      <c r="D37" s="59">
        <f t="shared" si="6"/>
        <v>0</v>
      </c>
      <c r="E37" s="59">
        <f t="shared" si="6"/>
        <v>0</v>
      </c>
      <c r="F37" s="59">
        <f t="shared" si="6"/>
        <v>0</v>
      </c>
      <c r="G37" s="59">
        <f t="shared" si="6"/>
        <v>0</v>
      </c>
      <c r="H37" s="59">
        <f t="shared" si="6"/>
        <v>0</v>
      </c>
    </row>
    <row r="38" spans="1:8" ht="15.75" customHeight="1">
      <c r="A38" s="57" t="str">
        <f t="shared" si="5"/>
        <v>Red Gram/Tur</v>
      </c>
      <c r="B38" s="59">
        <f t="shared" ref="B38:B55" si="7">B14*$B$34</f>
        <v>732.39300000000003</v>
      </c>
      <c r="C38" s="59">
        <f t="shared" ref="C38:C55" si="8">C14*$C$34</f>
        <v>805.63229999999999</v>
      </c>
      <c r="D38" s="59">
        <f t="shared" ref="D38:D55" si="9">D14*$D$34</f>
        <v>878.87159999999994</v>
      </c>
      <c r="E38" s="59">
        <f t="shared" ref="E38:E55" si="10">E14*$E$34</f>
        <v>952.1108999999999</v>
      </c>
      <c r="F38" s="59">
        <f t="shared" ref="F38:F55" si="11">F14*$F$34</f>
        <v>1025.3502000000001</v>
      </c>
      <c r="G38" s="59">
        <f t="shared" ref="G38:G55" si="12">G14*$G$34</f>
        <v>1098.5895000000003</v>
      </c>
      <c r="H38" s="59">
        <f t="shared" ref="H38:H55" si="13">H14*$H$34</f>
        <v>1171.8288000000002</v>
      </c>
    </row>
    <row r="39" spans="1:8" ht="15.75" hidden="1" customHeight="1">
      <c r="A39" s="57" t="str">
        <f t="shared" si="5"/>
        <v>Paddy/Rice</v>
      </c>
      <c r="B39" s="59">
        <f t="shared" si="7"/>
        <v>0</v>
      </c>
      <c r="C39" s="59">
        <f t="shared" si="8"/>
        <v>0</v>
      </c>
      <c r="D39" s="59">
        <f t="shared" si="9"/>
        <v>0</v>
      </c>
      <c r="E39" s="59">
        <f t="shared" si="10"/>
        <v>0</v>
      </c>
      <c r="F39" s="59">
        <f t="shared" si="11"/>
        <v>0</v>
      </c>
      <c r="G39" s="59">
        <f t="shared" si="12"/>
        <v>0</v>
      </c>
      <c r="H39" s="59">
        <f t="shared" si="13"/>
        <v>0</v>
      </c>
    </row>
    <row r="40" spans="1:8" ht="15.75" customHeight="1">
      <c r="A40" s="57" t="str">
        <f t="shared" si="5"/>
        <v>Green Gram/ Moong</v>
      </c>
      <c r="B40" s="59">
        <f t="shared" si="7"/>
        <v>472.20074999999997</v>
      </c>
      <c r="C40" s="59">
        <f t="shared" si="8"/>
        <v>519.42082499999992</v>
      </c>
      <c r="D40" s="59">
        <f t="shared" si="9"/>
        <v>566.64089999999987</v>
      </c>
      <c r="E40" s="59">
        <f t="shared" si="10"/>
        <v>613.86097499999994</v>
      </c>
      <c r="F40" s="59">
        <f t="shared" si="11"/>
        <v>661.08105</v>
      </c>
      <c r="G40" s="59">
        <f t="shared" si="12"/>
        <v>708.30112500000007</v>
      </c>
      <c r="H40" s="59">
        <f t="shared" si="13"/>
        <v>755.52120000000002</v>
      </c>
    </row>
    <row r="41" spans="1:8" ht="15.75" hidden="1" customHeight="1">
      <c r="A41" s="57" t="str">
        <f t="shared" si="5"/>
        <v>Maize</v>
      </c>
      <c r="B41" s="59">
        <f t="shared" si="7"/>
        <v>0</v>
      </c>
      <c r="C41" s="59">
        <f t="shared" si="8"/>
        <v>0</v>
      </c>
      <c r="D41" s="59">
        <f t="shared" si="9"/>
        <v>0</v>
      </c>
      <c r="E41" s="59">
        <f t="shared" si="10"/>
        <v>0</v>
      </c>
      <c r="F41" s="59">
        <f t="shared" si="11"/>
        <v>0</v>
      </c>
      <c r="G41" s="59">
        <f t="shared" si="12"/>
        <v>0</v>
      </c>
      <c r="H41" s="59">
        <f t="shared" si="13"/>
        <v>0</v>
      </c>
    </row>
    <row r="42" spans="1:8" ht="15.75" customHeight="1">
      <c r="A42" s="57" t="str">
        <f t="shared" si="5"/>
        <v>Black Gram/Udid</v>
      </c>
      <c r="B42" s="59">
        <f t="shared" si="7"/>
        <v>289.10250000000002</v>
      </c>
      <c r="C42" s="59">
        <f t="shared" si="8"/>
        <v>318.01275000000004</v>
      </c>
      <c r="D42" s="59">
        <f t="shared" si="9"/>
        <v>346.923</v>
      </c>
      <c r="E42" s="59">
        <f t="shared" si="10"/>
        <v>375.83325000000002</v>
      </c>
      <c r="F42" s="59">
        <f t="shared" si="11"/>
        <v>404.7435000000001</v>
      </c>
      <c r="G42" s="59">
        <f t="shared" si="12"/>
        <v>433.65375000000012</v>
      </c>
      <c r="H42" s="59">
        <f t="shared" si="13"/>
        <v>462.56400000000014</v>
      </c>
    </row>
    <row r="43" spans="1:8" ht="15.75" hidden="1" customHeight="1">
      <c r="A43" s="57" t="str">
        <f t="shared" si="5"/>
        <v>Bajra</v>
      </c>
      <c r="B43" s="59">
        <f t="shared" si="7"/>
        <v>0</v>
      </c>
      <c r="C43" s="59">
        <f t="shared" si="8"/>
        <v>0</v>
      </c>
      <c r="D43" s="59">
        <f t="shared" si="9"/>
        <v>0</v>
      </c>
      <c r="E43" s="59">
        <f t="shared" si="10"/>
        <v>0</v>
      </c>
      <c r="F43" s="59">
        <f t="shared" si="11"/>
        <v>0</v>
      </c>
      <c r="G43" s="59">
        <f t="shared" si="12"/>
        <v>0</v>
      </c>
      <c r="H43" s="59">
        <f t="shared" si="13"/>
        <v>0</v>
      </c>
    </row>
    <row r="44" spans="1:8" ht="15.75" hidden="1" customHeight="1">
      <c r="A44" s="57" t="str">
        <f t="shared" si="5"/>
        <v>Jawar</v>
      </c>
      <c r="B44" s="59">
        <f t="shared" si="7"/>
        <v>0</v>
      </c>
      <c r="C44" s="59">
        <f t="shared" si="8"/>
        <v>0</v>
      </c>
      <c r="D44" s="59">
        <f t="shared" si="9"/>
        <v>0</v>
      </c>
      <c r="E44" s="59">
        <f t="shared" si="10"/>
        <v>0</v>
      </c>
      <c r="F44" s="59">
        <f t="shared" si="11"/>
        <v>0</v>
      </c>
      <c r="G44" s="59">
        <f t="shared" si="12"/>
        <v>0</v>
      </c>
      <c r="H44" s="59">
        <f t="shared" si="13"/>
        <v>0</v>
      </c>
    </row>
    <row r="45" spans="1:8" ht="15.75" hidden="1" customHeight="1">
      <c r="A45" s="57" t="str">
        <f t="shared" si="5"/>
        <v>Sunflower</v>
      </c>
      <c r="B45" s="59">
        <f t="shared" si="7"/>
        <v>0</v>
      </c>
      <c r="C45" s="59">
        <f t="shared" si="8"/>
        <v>0</v>
      </c>
      <c r="D45" s="59">
        <f t="shared" si="9"/>
        <v>0</v>
      </c>
      <c r="E45" s="59">
        <f t="shared" si="10"/>
        <v>0</v>
      </c>
      <c r="F45" s="59">
        <f t="shared" si="11"/>
        <v>0</v>
      </c>
      <c r="G45" s="59">
        <f t="shared" si="12"/>
        <v>0</v>
      </c>
      <c r="H45" s="59">
        <f t="shared" si="13"/>
        <v>0</v>
      </c>
    </row>
    <row r="46" spans="1:8" ht="15.75" customHeight="1">
      <c r="A46" s="57" t="str">
        <f t="shared" si="5"/>
        <v>Wheat</v>
      </c>
      <c r="B46" s="59">
        <f t="shared" si="7"/>
        <v>312.23069999999996</v>
      </c>
      <c r="C46" s="59">
        <f t="shared" si="8"/>
        <v>343.45376999999996</v>
      </c>
      <c r="D46" s="59">
        <f t="shared" si="9"/>
        <v>374.67683999999991</v>
      </c>
      <c r="E46" s="59">
        <f t="shared" si="10"/>
        <v>405.89990999999992</v>
      </c>
      <c r="F46" s="59">
        <f t="shared" si="11"/>
        <v>437.12297999999993</v>
      </c>
      <c r="G46" s="59">
        <f t="shared" si="12"/>
        <v>468.34604999999993</v>
      </c>
      <c r="H46" s="59">
        <f t="shared" si="13"/>
        <v>499.56912</v>
      </c>
    </row>
    <row r="47" spans="1:8" ht="15.75" customHeight="1">
      <c r="A47" s="57" t="str">
        <f t="shared" si="5"/>
        <v>Bengal Gram/Channa</v>
      </c>
      <c r="B47" s="59">
        <f t="shared" si="7"/>
        <v>1214.2304999999999</v>
      </c>
      <c r="C47" s="59">
        <f t="shared" si="8"/>
        <v>1335.6535499999998</v>
      </c>
      <c r="D47" s="59">
        <f t="shared" si="9"/>
        <v>1457.0765999999996</v>
      </c>
      <c r="E47" s="59">
        <f t="shared" si="10"/>
        <v>1578.4996499999997</v>
      </c>
      <c r="F47" s="59">
        <f t="shared" si="11"/>
        <v>1699.9226999999996</v>
      </c>
      <c r="G47" s="59">
        <f t="shared" si="12"/>
        <v>1821.3457499999995</v>
      </c>
      <c r="H47" s="59">
        <f t="shared" si="13"/>
        <v>1942.7687999999994</v>
      </c>
    </row>
    <row r="48" spans="1:8" ht="15.75" hidden="1" customHeight="1">
      <c r="A48" s="57" t="str">
        <f t="shared" si="5"/>
        <v>Jawar</v>
      </c>
      <c r="B48" s="59">
        <f t="shared" si="7"/>
        <v>0</v>
      </c>
      <c r="C48" s="59">
        <f t="shared" si="8"/>
        <v>0</v>
      </c>
      <c r="D48" s="59">
        <f t="shared" si="9"/>
        <v>0</v>
      </c>
      <c r="E48" s="59">
        <f t="shared" si="10"/>
        <v>0</v>
      </c>
      <c r="F48" s="59">
        <f t="shared" si="11"/>
        <v>0</v>
      </c>
      <c r="G48" s="59">
        <f t="shared" si="12"/>
        <v>0</v>
      </c>
      <c r="H48" s="59">
        <f t="shared" si="13"/>
        <v>0</v>
      </c>
    </row>
    <row r="49" spans="1:8" ht="15.75" hidden="1" customHeight="1">
      <c r="A49" s="57" t="str">
        <f t="shared" si="5"/>
        <v>Maize</v>
      </c>
      <c r="B49" s="59">
        <f t="shared" si="7"/>
        <v>0</v>
      </c>
      <c r="C49" s="59">
        <f t="shared" si="8"/>
        <v>0</v>
      </c>
      <c r="D49" s="59">
        <f t="shared" si="9"/>
        <v>0</v>
      </c>
      <c r="E49" s="59">
        <f t="shared" si="10"/>
        <v>0</v>
      </c>
      <c r="F49" s="59">
        <f t="shared" si="11"/>
        <v>0</v>
      </c>
      <c r="G49" s="59">
        <f t="shared" si="12"/>
        <v>0</v>
      </c>
      <c r="H49" s="59">
        <f t="shared" si="13"/>
        <v>0</v>
      </c>
    </row>
    <row r="50" spans="1:8" ht="15.75" hidden="1" customHeight="1">
      <c r="A50" s="57" t="str">
        <f t="shared" si="5"/>
        <v>Safflower</v>
      </c>
      <c r="B50" s="59">
        <f t="shared" si="7"/>
        <v>0</v>
      </c>
      <c r="C50" s="59">
        <f t="shared" si="8"/>
        <v>0</v>
      </c>
      <c r="D50" s="59">
        <f t="shared" si="9"/>
        <v>0</v>
      </c>
      <c r="E50" s="59">
        <f t="shared" si="10"/>
        <v>0</v>
      </c>
      <c r="F50" s="59">
        <f t="shared" si="11"/>
        <v>0</v>
      </c>
      <c r="G50" s="59">
        <f t="shared" si="12"/>
        <v>0</v>
      </c>
      <c r="H50" s="59">
        <f t="shared" si="13"/>
        <v>0</v>
      </c>
    </row>
    <row r="51" spans="1:8" ht="15.75" hidden="1" customHeight="1">
      <c r="A51" s="57">
        <f t="shared" si="5"/>
        <v>0</v>
      </c>
      <c r="B51" s="59">
        <f t="shared" si="7"/>
        <v>0</v>
      </c>
      <c r="C51" s="59">
        <f t="shared" si="8"/>
        <v>0</v>
      </c>
      <c r="D51" s="59">
        <f t="shared" si="9"/>
        <v>0</v>
      </c>
      <c r="E51" s="59">
        <f t="shared" si="10"/>
        <v>0</v>
      </c>
      <c r="F51" s="59">
        <f t="shared" si="11"/>
        <v>0</v>
      </c>
      <c r="G51" s="59">
        <f t="shared" si="12"/>
        <v>0</v>
      </c>
      <c r="H51" s="59">
        <f t="shared" si="13"/>
        <v>0</v>
      </c>
    </row>
    <row r="52" spans="1:8" ht="15.75" hidden="1" customHeight="1">
      <c r="A52" s="57">
        <f t="shared" si="5"/>
        <v>0</v>
      </c>
      <c r="B52" s="59">
        <f t="shared" si="7"/>
        <v>0</v>
      </c>
      <c r="C52" s="59">
        <f t="shared" si="8"/>
        <v>0</v>
      </c>
      <c r="D52" s="59">
        <f t="shared" si="9"/>
        <v>0</v>
      </c>
      <c r="E52" s="59">
        <f t="shared" si="10"/>
        <v>0</v>
      </c>
      <c r="F52" s="59">
        <f t="shared" si="11"/>
        <v>0</v>
      </c>
      <c r="G52" s="59">
        <f t="shared" si="12"/>
        <v>0</v>
      </c>
      <c r="H52" s="59">
        <f t="shared" si="13"/>
        <v>0</v>
      </c>
    </row>
    <row r="53" spans="1:8" ht="15.75" hidden="1" customHeight="1">
      <c r="A53" s="57">
        <f t="shared" si="5"/>
        <v>0</v>
      </c>
      <c r="B53" s="59">
        <f t="shared" si="7"/>
        <v>0</v>
      </c>
      <c r="C53" s="59">
        <f t="shared" si="8"/>
        <v>0</v>
      </c>
      <c r="D53" s="59">
        <f t="shared" si="9"/>
        <v>0</v>
      </c>
      <c r="E53" s="59">
        <f t="shared" si="10"/>
        <v>0</v>
      </c>
      <c r="F53" s="59">
        <f t="shared" si="11"/>
        <v>0</v>
      </c>
      <c r="G53" s="59">
        <f t="shared" si="12"/>
        <v>0</v>
      </c>
      <c r="H53" s="59">
        <f t="shared" si="13"/>
        <v>0</v>
      </c>
    </row>
    <row r="54" spans="1:8" ht="15.75" hidden="1" customHeight="1">
      <c r="A54" s="57" t="str">
        <f t="shared" si="5"/>
        <v>Groundnut</v>
      </c>
      <c r="B54" s="59">
        <f t="shared" si="7"/>
        <v>0</v>
      </c>
      <c r="C54" s="59">
        <f t="shared" si="8"/>
        <v>0</v>
      </c>
      <c r="D54" s="59">
        <f t="shared" si="9"/>
        <v>0</v>
      </c>
      <c r="E54" s="59">
        <f t="shared" si="10"/>
        <v>0</v>
      </c>
      <c r="F54" s="59">
        <f t="shared" si="11"/>
        <v>0</v>
      </c>
      <c r="G54" s="59">
        <f t="shared" si="12"/>
        <v>0</v>
      </c>
      <c r="H54" s="59">
        <f t="shared" si="13"/>
        <v>0</v>
      </c>
    </row>
    <row r="55" spans="1:8" ht="15.75" hidden="1" customHeight="1">
      <c r="A55" s="57">
        <f t="shared" si="5"/>
        <v>0</v>
      </c>
      <c r="B55" s="59">
        <f t="shared" si="7"/>
        <v>0</v>
      </c>
      <c r="C55" s="59">
        <f t="shared" si="8"/>
        <v>0</v>
      </c>
      <c r="D55" s="59">
        <f t="shared" si="9"/>
        <v>0</v>
      </c>
      <c r="E55" s="59">
        <f t="shared" si="10"/>
        <v>0</v>
      </c>
      <c r="F55" s="59">
        <f t="shared" si="11"/>
        <v>0</v>
      </c>
      <c r="G55" s="59">
        <f t="shared" si="12"/>
        <v>0</v>
      </c>
      <c r="H55" s="59">
        <f t="shared" si="13"/>
        <v>0</v>
      </c>
    </row>
    <row r="56" spans="1:8" ht="15.75" hidden="1" customHeight="1">
      <c r="A56" s="57"/>
      <c r="B56" s="57"/>
      <c r="C56" s="57"/>
      <c r="D56" s="57"/>
      <c r="E56" s="57"/>
      <c r="F56" s="57"/>
      <c r="G56" s="57"/>
      <c r="H56" s="57"/>
    </row>
    <row r="57" spans="1:8" ht="15.75" customHeight="1">
      <c r="A57" s="60" t="s">
        <v>602</v>
      </c>
      <c r="B57" s="57"/>
      <c r="C57" s="57"/>
      <c r="D57" s="57"/>
      <c r="E57" s="57"/>
      <c r="F57" s="57"/>
      <c r="G57" s="57"/>
      <c r="H57" s="57"/>
    </row>
    <row r="58" spans="1:8" ht="15.75" hidden="1" customHeight="1">
      <c r="A58" s="57" t="str">
        <f>A37</f>
        <v>Soybean</v>
      </c>
      <c r="B58" s="57"/>
      <c r="C58" s="57"/>
      <c r="D58" s="57"/>
      <c r="E58" s="57"/>
      <c r="F58" s="57"/>
      <c r="G58" s="57"/>
      <c r="H58" s="57"/>
    </row>
    <row r="59" spans="1:8" ht="15.75" hidden="1" customHeight="1">
      <c r="A59" s="57"/>
      <c r="B59" s="57"/>
      <c r="C59" s="57"/>
      <c r="D59" s="57"/>
      <c r="E59" s="57"/>
      <c r="F59" s="57"/>
      <c r="G59" s="57"/>
      <c r="H59" s="57"/>
    </row>
    <row r="60" spans="1:8" ht="15.75" hidden="1" customHeight="1">
      <c r="A60" s="57"/>
      <c r="B60" s="57"/>
      <c r="C60" s="57"/>
      <c r="D60" s="57"/>
      <c r="E60" s="57"/>
      <c r="F60" s="57"/>
      <c r="G60" s="57"/>
      <c r="H60" s="57"/>
    </row>
    <row r="61" spans="1:8" ht="15.75" hidden="1" customHeight="1">
      <c r="A61" s="57"/>
      <c r="B61" s="57"/>
      <c r="C61" s="57"/>
      <c r="D61" s="57"/>
      <c r="E61" s="57"/>
      <c r="F61" s="57"/>
      <c r="G61" s="57"/>
      <c r="H61" s="57"/>
    </row>
    <row r="62" spans="1:8" ht="15.75" customHeight="1">
      <c r="A62" s="57" t="str">
        <f>A38</f>
        <v>Red Gram/Tur</v>
      </c>
      <c r="B62" s="144"/>
      <c r="C62" s="144"/>
      <c r="D62" s="144"/>
      <c r="E62" s="144"/>
      <c r="F62" s="144"/>
      <c r="G62" s="144"/>
      <c r="H62" s="144"/>
    </row>
    <row r="63" spans="1:8" ht="15.75" customHeight="1">
      <c r="A63" s="57" t="s">
        <v>603</v>
      </c>
      <c r="B63" s="144">
        <f t="shared" ref="B63:H63" si="14">B38*80%</f>
        <v>585.9144</v>
      </c>
      <c r="C63" s="144">
        <f t="shared" si="14"/>
        <v>644.50584000000003</v>
      </c>
      <c r="D63" s="144">
        <f t="shared" si="14"/>
        <v>703.09727999999996</v>
      </c>
      <c r="E63" s="144">
        <f t="shared" si="14"/>
        <v>761.68871999999999</v>
      </c>
      <c r="F63" s="144">
        <f t="shared" si="14"/>
        <v>820.28016000000014</v>
      </c>
      <c r="G63" s="144">
        <f t="shared" si="14"/>
        <v>878.87160000000029</v>
      </c>
      <c r="H63" s="144">
        <f t="shared" si="14"/>
        <v>937.46304000000021</v>
      </c>
    </row>
    <row r="64" spans="1:8" ht="15.75" customHeight="1">
      <c r="A64" s="57" t="s">
        <v>604</v>
      </c>
      <c r="B64" s="144">
        <f t="shared" ref="B64:H64" si="15">B38*20%</f>
        <v>146.4786</v>
      </c>
      <c r="C64" s="144">
        <f t="shared" si="15"/>
        <v>161.12646000000001</v>
      </c>
      <c r="D64" s="144">
        <f t="shared" si="15"/>
        <v>175.77431999999999</v>
      </c>
      <c r="E64" s="144">
        <f t="shared" si="15"/>
        <v>190.42218</v>
      </c>
      <c r="F64" s="144">
        <f t="shared" si="15"/>
        <v>205.07004000000003</v>
      </c>
      <c r="G64" s="144">
        <f t="shared" si="15"/>
        <v>219.71790000000007</v>
      </c>
      <c r="H64" s="144">
        <f t="shared" si="15"/>
        <v>234.36576000000005</v>
      </c>
    </row>
    <row r="65" spans="1:8" ht="15.75" hidden="1" customHeight="1">
      <c r="A65" s="57" t="str">
        <f>A39</f>
        <v>Paddy/Rice</v>
      </c>
      <c r="B65" s="59"/>
      <c r="C65" s="59"/>
      <c r="D65" s="59"/>
      <c r="E65" s="59"/>
      <c r="F65" s="59"/>
      <c r="G65" s="59"/>
      <c r="H65" s="59"/>
    </row>
    <row r="66" spans="1:8" ht="15.75" hidden="1" customHeight="1">
      <c r="A66" s="57"/>
      <c r="B66" s="59"/>
      <c r="C66" s="59"/>
      <c r="D66" s="59"/>
      <c r="E66" s="59"/>
      <c r="F66" s="59"/>
      <c r="G66" s="59"/>
      <c r="H66" s="59"/>
    </row>
    <row r="67" spans="1:8" ht="15.75" hidden="1" customHeight="1">
      <c r="A67" s="57"/>
      <c r="B67" s="59"/>
      <c r="C67" s="59"/>
      <c r="D67" s="59"/>
      <c r="E67" s="59"/>
      <c r="F67" s="59"/>
      <c r="G67" s="59"/>
      <c r="H67" s="59"/>
    </row>
    <row r="68" spans="1:8" ht="15.75" hidden="1" customHeight="1">
      <c r="A68" s="57"/>
      <c r="B68" s="59"/>
      <c r="C68" s="59"/>
      <c r="D68" s="59"/>
      <c r="E68" s="59"/>
      <c r="F68" s="59"/>
      <c r="G68" s="59"/>
      <c r="H68" s="59"/>
    </row>
    <row r="69" spans="1:8" ht="15.75" customHeight="1">
      <c r="A69" s="57" t="str">
        <f>A40</f>
        <v>Green Gram/ Moong</v>
      </c>
      <c r="B69" s="59"/>
      <c r="C69" s="59"/>
      <c r="D69" s="59"/>
      <c r="E69" s="59"/>
      <c r="F69" s="59"/>
      <c r="G69" s="59"/>
      <c r="H69" s="59"/>
    </row>
    <row r="70" spans="1:8" ht="15.75" customHeight="1">
      <c r="A70" s="57" t="s">
        <v>603</v>
      </c>
      <c r="B70" s="59">
        <f t="shared" ref="B70:H70" si="16">B40*80%</f>
        <v>377.76060000000001</v>
      </c>
      <c r="C70" s="59">
        <f t="shared" si="16"/>
        <v>415.53665999999998</v>
      </c>
      <c r="D70" s="59">
        <f t="shared" si="16"/>
        <v>453.3127199999999</v>
      </c>
      <c r="E70" s="59">
        <f t="shared" si="16"/>
        <v>491.08877999999999</v>
      </c>
      <c r="F70" s="59">
        <f t="shared" si="16"/>
        <v>528.86484000000007</v>
      </c>
      <c r="G70" s="59">
        <f t="shared" si="16"/>
        <v>566.6409000000001</v>
      </c>
      <c r="H70" s="59">
        <f t="shared" si="16"/>
        <v>604.41696000000002</v>
      </c>
    </row>
    <row r="71" spans="1:8" ht="15.75" customHeight="1">
      <c r="A71" s="57" t="s">
        <v>604</v>
      </c>
      <c r="B71" s="59">
        <f t="shared" ref="B71:H71" si="17">B40*20%</f>
        <v>94.440150000000003</v>
      </c>
      <c r="C71" s="59">
        <f t="shared" si="17"/>
        <v>103.884165</v>
      </c>
      <c r="D71" s="59">
        <f t="shared" si="17"/>
        <v>113.32817999999997</v>
      </c>
      <c r="E71" s="59">
        <f t="shared" si="17"/>
        <v>122.772195</v>
      </c>
      <c r="F71" s="59">
        <f t="shared" si="17"/>
        <v>132.21621000000002</v>
      </c>
      <c r="G71" s="59">
        <f t="shared" si="17"/>
        <v>141.66022500000003</v>
      </c>
      <c r="H71" s="59">
        <f t="shared" si="17"/>
        <v>151.10424</v>
      </c>
    </row>
    <row r="72" spans="1:8" ht="15.75" hidden="1" customHeight="1">
      <c r="A72" s="57" t="str">
        <f>A41</f>
        <v>Maize</v>
      </c>
      <c r="B72" s="59"/>
      <c r="C72" s="59"/>
      <c r="D72" s="59"/>
      <c r="E72" s="59"/>
      <c r="F72" s="59"/>
      <c r="G72" s="59"/>
      <c r="H72" s="59"/>
    </row>
    <row r="73" spans="1:8" ht="15.75" hidden="1" customHeight="1">
      <c r="A73" s="57"/>
      <c r="B73" s="59"/>
      <c r="C73" s="59"/>
      <c r="D73" s="59"/>
      <c r="E73" s="59"/>
      <c r="F73" s="59"/>
      <c r="G73" s="59"/>
      <c r="H73" s="59"/>
    </row>
    <row r="74" spans="1:8" ht="15.75" hidden="1" customHeight="1">
      <c r="A74" s="57"/>
      <c r="B74" s="59"/>
      <c r="C74" s="59"/>
      <c r="D74" s="59"/>
      <c r="E74" s="59"/>
      <c r="F74" s="59"/>
      <c r="G74" s="59"/>
      <c r="H74" s="59"/>
    </row>
    <row r="75" spans="1:8" ht="15.75" hidden="1" customHeight="1">
      <c r="A75" s="57"/>
      <c r="B75" s="59"/>
      <c r="C75" s="59"/>
      <c r="D75" s="59"/>
      <c r="E75" s="59"/>
      <c r="F75" s="59"/>
      <c r="G75" s="59"/>
      <c r="H75" s="59"/>
    </row>
    <row r="76" spans="1:8" ht="15.75" hidden="1" customHeight="1">
      <c r="A76" s="57"/>
      <c r="B76" s="59"/>
      <c r="C76" s="59"/>
      <c r="D76" s="59"/>
      <c r="E76" s="59"/>
      <c r="F76" s="59"/>
      <c r="G76" s="59"/>
      <c r="H76" s="59"/>
    </row>
    <row r="77" spans="1:8" ht="15.75" customHeight="1">
      <c r="A77" s="57" t="str">
        <f>A42</f>
        <v>Black Gram/Udid</v>
      </c>
      <c r="B77" s="59"/>
      <c r="C77" s="59"/>
      <c r="D77" s="59"/>
      <c r="E77" s="59"/>
      <c r="F77" s="59"/>
      <c r="G77" s="59"/>
      <c r="H77" s="59"/>
    </row>
    <row r="78" spans="1:8" ht="15.75" customHeight="1">
      <c r="A78" s="57" t="s">
        <v>603</v>
      </c>
      <c r="B78" s="59">
        <f t="shared" ref="B78:H78" si="18">B42*80%</f>
        <v>231.28200000000004</v>
      </c>
      <c r="C78" s="59">
        <f t="shared" si="18"/>
        <v>254.41020000000003</v>
      </c>
      <c r="D78" s="59">
        <f t="shared" si="18"/>
        <v>277.53840000000002</v>
      </c>
      <c r="E78" s="59">
        <f t="shared" si="18"/>
        <v>300.66660000000002</v>
      </c>
      <c r="F78" s="59">
        <f t="shared" si="18"/>
        <v>323.79480000000012</v>
      </c>
      <c r="G78" s="59">
        <f t="shared" si="18"/>
        <v>346.92300000000012</v>
      </c>
      <c r="H78" s="59">
        <f t="shared" si="18"/>
        <v>370.05120000000011</v>
      </c>
    </row>
    <row r="79" spans="1:8" ht="15.75" customHeight="1">
      <c r="A79" s="57" t="s">
        <v>604</v>
      </c>
      <c r="B79" s="59">
        <f t="shared" ref="B79:H79" si="19">B42*20%</f>
        <v>57.82050000000001</v>
      </c>
      <c r="C79" s="59">
        <f t="shared" si="19"/>
        <v>63.602550000000008</v>
      </c>
      <c r="D79" s="59">
        <f t="shared" si="19"/>
        <v>69.384600000000006</v>
      </c>
      <c r="E79" s="59">
        <f t="shared" si="19"/>
        <v>75.166650000000004</v>
      </c>
      <c r="F79" s="59">
        <f t="shared" si="19"/>
        <v>80.948700000000031</v>
      </c>
      <c r="G79" s="59">
        <f t="shared" si="19"/>
        <v>86.730750000000029</v>
      </c>
      <c r="H79" s="59">
        <f t="shared" si="19"/>
        <v>92.512800000000027</v>
      </c>
    </row>
    <row r="80" spans="1:8" ht="15.75" hidden="1" customHeight="1">
      <c r="A80" s="57" t="str">
        <f>A43</f>
        <v>Bajra</v>
      </c>
      <c r="B80" s="59"/>
      <c r="C80" s="59"/>
      <c r="D80" s="59"/>
      <c r="E80" s="59"/>
      <c r="F80" s="59"/>
      <c r="G80" s="59"/>
      <c r="H80" s="59"/>
    </row>
    <row r="81" spans="1:8" ht="15.75" hidden="1" customHeight="1">
      <c r="A81" s="57"/>
      <c r="B81" s="59"/>
      <c r="C81" s="59"/>
      <c r="D81" s="59"/>
      <c r="E81" s="59"/>
      <c r="F81" s="59"/>
      <c r="G81" s="59"/>
      <c r="H81" s="59"/>
    </row>
    <row r="82" spans="1:8" ht="15.75" hidden="1" customHeight="1">
      <c r="A82" s="57"/>
      <c r="B82" s="59"/>
      <c r="C82" s="59"/>
      <c r="D82" s="59"/>
      <c r="E82" s="59"/>
      <c r="F82" s="59"/>
      <c r="G82" s="59"/>
      <c r="H82" s="59"/>
    </row>
    <row r="83" spans="1:8" ht="15.75" hidden="1" customHeight="1">
      <c r="A83" s="57" t="str">
        <f>A44</f>
        <v>Jawar</v>
      </c>
      <c r="B83" s="59"/>
      <c r="C83" s="59"/>
      <c r="D83" s="59"/>
      <c r="E83" s="59"/>
      <c r="F83" s="59"/>
      <c r="G83" s="59"/>
      <c r="H83" s="59"/>
    </row>
    <row r="84" spans="1:8" ht="15.75" hidden="1" customHeight="1">
      <c r="A84" s="57"/>
      <c r="B84" s="59"/>
      <c r="C84" s="59"/>
      <c r="D84" s="59"/>
      <c r="E84" s="59"/>
      <c r="F84" s="59"/>
      <c r="G84" s="59"/>
      <c r="H84" s="59"/>
    </row>
    <row r="85" spans="1:8" ht="15.75" hidden="1" customHeight="1">
      <c r="A85" s="57"/>
      <c r="B85" s="59"/>
      <c r="C85" s="59"/>
      <c r="D85" s="59"/>
      <c r="E85" s="59"/>
      <c r="F85" s="59"/>
      <c r="G85" s="59"/>
      <c r="H85" s="59"/>
    </row>
    <row r="86" spans="1:8" ht="15.75" hidden="1" customHeight="1">
      <c r="A86" s="57"/>
      <c r="B86" s="59"/>
      <c r="C86" s="59"/>
      <c r="D86" s="59"/>
      <c r="E86" s="59"/>
      <c r="F86" s="59"/>
      <c r="G86" s="59"/>
      <c r="H86" s="59"/>
    </row>
    <row r="87" spans="1:8" ht="15.75" hidden="1" customHeight="1">
      <c r="A87" s="57" t="str">
        <f>A45</f>
        <v>Sunflower</v>
      </c>
      <c r="B87" s="59"/>
      <c r="C87" s="59"/>
      <c r="D87" s="59"/>
      <c r="E87" s="59"/>
      <c r="F87" s="59"/>
      <c r="G87" s="59"/>
      <c r="H87" s="59"/>
    </row>
    <row r="88" spans="1:8" ht="15.75" hidden="1" customHeight="1">
      <c r="A88" s="57"/>
      <c r="B88" s="59"/>
      <c r="C88" s="59"/>
      <c r="D88" s="59"/>
      <c r="E88" s="59"/>
      <c r="F88" s="59"/>
      <c r="G88" s="59"/>
      <c r="H88" s="59"/>
    </row>
    <row r="89" spans="1:8" ht="15.75" hidden="1" customHeight="1">
      <c r="A89" s="57"/>
      <c r="B89" s="59"/>
      <c r="C89" s="59"/>
      <c r="D89" s="59"/>
      <c r="E89" s="59"/>
      <c r="F89" s="59"/>
      <c r="G89" s="59"/>
      <c r="H89" s="59"/>
    </row>
    <row r="90" spans="1:8" ht="15.75" hidden="1" customHeight="1">
      <c r="A90" s="57"/>
      <c r="B90" s="59"/>
      <c r="C90" s="59"/>
      <c r="D90" s="59"/>
      <c r="E90" s="59"/>
      <c r="F90" s="59"/>
      <c r="G90" s="59"/>
      <c r="H90" s="59"/>
    </row>
    <row r="91" spans="1:8" ht="15.75" hidden="1" customHeight="1">
      <c r="A91" s="57" t="str">
        <f>A46</f>
        <v>Wheat</v>
      </c>
      <c r="B91" s="59"/>
      <c r="C91" s="59"/>
      <c r="D91" s="59"/>
      <c r="E91" s="59"/>
      <c r="F91" s="59"/>
      <c r="G91" s="59"/>
      <c r="H91" s="59"/>
    </row>
    <row r="92" spans="1:8" ht="15.75" hidden="1" customHeight="1">
      <c r="A92" s="57"/>
      <c r="B92" s="59"/>
      <c r="C92" s="59"/>
      <c r="D92" s="59"/>
      <c r="E92" s="59"/>
      <c r="F92" s="59"/>
      <c r="G92" s="59"/>
      <c r="H92" s="59"/>
    </row>
    <row r="93" spans="1:8" ht="15.75" hidden="1" customHeight="1">
      <c r="A93" s="57"/>
      <c r="B93" s="59"/>
      <c r="C93" s="59"/>
      <c r="D93" s="59"/>
      <c r="E93" s="59"/>
      <c r="F93" s="59"/>
      <c r="G93" s="59"/>
      <c r="H93" s="59"/>
    </row>
    <row r="94" spans="1:8" ht="15.75" customHeight="1">
      <c r="A94" s="57" t="str">
        <f>A47</f>
        <v>Bengal Gram/Channa</v>
      </c>
      <c r="B94" s="59"/>
      <c r="C94" s="59"/>
      <c r="D94" s="59"/>
      <c r="E94" s="59"/>
      <c r="F94" s="59"/>
      <c r="G94" s="59"/>
      <c r="H94" s="59"/>
    </row>
    <row r="95" spans="1:8" ht="15.75" customHeight="1">
      <c r="A95" s="57" t="s">
        <v>603</v>
      </c>
      <c r="B95" s="59">
        <f t="shared" ref="B95:H95" si="20">B47*80%</f>
        <v>971.38439999999991</v>
      </c>
      <c r="C95" s="59">
        <f t="shared" si="20"/>
        <v>1068.5228399999999</v>
      </c>
      <c r="D95" s="59">
        <f t="shared" si="20"/>
        <v>1165.6612799999998</v>
      </c>
      <c r="E95" s="59">
        <f t="shared" si="20"/>
        <v>1262.79972</v>
      </c>
      <c r="F95" s="59">
        <f t="shared" si="20"/>
        <v>1359.9381599999997</v>
      </c>
      <c r="G95" s="59">
        <f t="shared" si="20"/>
        <v>1457.0765999999996</v>
      </c>
      <c r="H95" s="59">
        <f t="shared" si="20"/>
        <v>1554.2150399999996</v>
      </c>
    </row>
    <row r="96" spans="1:8" ht="15.75" customHeight="1">
      <c r="A96" s="57" t="s">
        <v>604</v>
      </c>
      <c r="B96" s="59">
        <f t="shared" ref="B96:H96" si="21">B47*20%</f>
        <v>242.84609999999998</v>
      </c>
      <c r="C96" s="59">
        <f t="shared" si="21"/>
        <v>267.13070999999997</v>
      </c>
      <c r="D96" s="59">
        <f t="shared" si="21"/>
        <v>291.41531999999995</v>
      </c>
      <c r="E96" s="59">
        <f t="shared" si="21"/>
        <v>315.69992999999999</v>
      </c>
      <c r="F96" s="59">
        <f t="shared" si="21"/>
        <v>339.98453999999992</v>
      </c>
      <c r="G96" s="59">
        <f t="shared" si="21"/>
        <v>364.26914999999991</v>
      </c>
      <c r="H96" s="59">
        <f t="shared" si="21"/>
        <v>388.5537599999999</v>
      </c>
    </row>
    <row r="97" spans="1:8" ht="15.75" hidden="1" customHeight="1">
      <c r="A97" s="57" t="str">
        <f>A48</f>
        <v>Jawar</v>
      </c>
      <c r="B97" s="59"/>
      <c r="C97" s="59"/>
      <c r="D97" s="59"/>
      <c r="E97" s="59"/>
      <c r="F97" s="59"/>
      <c r="G97" s="59"/>
      <c r="H97" s="59"/>
    </row>
    <row r="98" spans="1:8" ht="15.75" hidden="1" customHeight="1">
      <c r="A98" s="57"/>
      <c r="B98" s="59"/>
      <c r="C98" s="59"/>
      <c r="D98" s="59"/>
      <c r="E98" s="59"/>
      <c r="F98" s="59"/>
      <c r="G98" s="59"/>
      <c r="H98" s="59"/>
    </row>
    <row r="99" spans="1:8" ht="15.75" hidden="1" customHeight="1">
      <c r="A99" s="57"/>
      <c r="B99" s="59"/>
      <c r="C99" s="59"/>
      <c r="D99" s="59"/>
      <c r="E99" s="59"/>
      <c r="F99" s="59"/>
      <c r="G99" s="59"/>
      <c r="H99" s="59"/>
    </row>
    <row r="100" spans="1:8" ht="15.75" hidden="1" customHeight="1">
      <c r="A100" s="57" t="str">
        <f>A49</f>
        <v>Maize</v>
      </c>
      <c r="B100" s="59"/>
      <c r="C100" s="59"/>
      <c r="D100" s="59"/>
      <c r="E100" s="59"/>
      <c r="F100" s="59"/>
      <c r="G100" s="59"/>
      <c r="H100" s="59"/>
    </row>
    <row r="101" spans="1:8" ht="15.75" hidden="1" customHeight="1">
      <c r="A101" s="57"/>
      <c r="B101" s="59"/>
      <c r="C101" s="59"/>
      <c r="D101" s="59"/>
      <c r="E101" s="59"/>
      <c r="F101" s="59"/>
      <c r="G101" s="59"/>
      <c r="H101" s="59"/>
    </row>
    <row r="102" spans="1:8" ht="15.75" hidden="1" customHeight="1">
      <c r="A102" s="57"/>
      <c r="B102" s="59"/>
      <c r="C102" s="59"/>
      <c r="D102" s="59"/>
      <c r="E102" s="59"/>
      <c r="F102" s="59"/>
      <c r="G102" s="59"/>
      <c r="H102" s="59"/>
    </row>
    <row r="103" spans="1:8" ht="15.75" hidden="1" customHeight="1">
      <c r="A103" s="57" t="str">
        <f>A50</f>
        <v>Safflower</v>
      </c>
      <c r="B103" s="59"/>
      <c r="C103" s="59"/>
      <c r="D103" s="59"/>
      <c r="E103" s="59"/>
      <c r="F103" s="59"/>
      <c r="G103" s="59"/>
      <c r="H103" s="59"/>
    </row>
    <row r="104" spans="1:8" ht="15.75" hidden="1" customHeight="1">
      <c r="A104" s="57"/>
      <c r="B104" s="59"/>
      <c r="C104" s="59"/>
      <c r="D104" s="59"/>
      <c r="E104" s="59"/>
      <c r="F104" s="59"/>
      <c r="G104" s="59"/>
      <c r="H104" s="59"/>
    </row>
    <row r="105" spans="1:8" ht="15.75" hidden="1" customHeight="1">
      <c r="A105" s="57"/>
      <c r="B105" s="59"/>
      <c r="C105" s="59"/>
      <c r="D105" s="59"/>
      <c r="E105" s="59"/>
      <c r="F105" s="59"/>
      <c r="G105" s="59"/>
      <c r="H105" s="59"/>
    </row>
    <row r="106" spans="1:8" ht="15.75" hidden="1" customHeight="1">
      <c r="A106" s="57">
        <f>A51</f>
        <v>0</v>
      </c>
      <c r="B106" s="59"/>
      <c r="C106" s="59"/>
      <c r="D106" s="59"/>
      <c r="E106" s="59"/>
      <c r="F106" s="59"/>
      <c r="G106" s="59"/>
      <c r="H106" s="59"/>
    </row>
    <row r="107" spans="1:8" ht="15.75" hidden="1" customHeight="1">
      <c r="A107" s="57"/>
      <c r="B107" s="59"/>
      <c r="C107" s="59"/>
      <c r="D107" s="59"/>
      <c r="E107" s="59"/>
      <c r="F107" s="59"/>
      <c r="G107" s="59"/>
      <c r="H107" s="59"/>
    </row>
    <row r="108" spans="1:8" ht="15.75" hidden="1" customHeight="1">
      <c r="A108" s="57"/>
      <c r="B108" s="59"/>
      <c r="C108" s="59"/>
      <c r="D108" s="59"/>
      <c r="E108" s="59"/>
      <c r="F108" s="59"/>
      <c r="G108" s="59"/>
      <c r="H108" s="59"/>
    </row>
    <row r="109" spans="1:8" ht="15.75" hidden="1" customHeight="1">
      <c r="A109" s="57">
        <f>A52</f>
        <v>0</v>
      </c>
      <c r="B109" s="59"/>
      <c r="C109" s="59"/>
      <c r="D109" s="59"/>
      <c r="E109" s="59"/>
      <c r="F109" s="59"/>
      <c r="G109" s="59"/>
      <c r="H109" s="59"/>
    </row>
    <row r="110" spans="1:8" ht="15.75" hidden="1" customHeight="1">
      <c r="A110" s="57"/>
      <c r="B110" s="59"/>
      <c r="C110" s="59"/>
      <c r="D110" s="59"/>
      <c r="E110" s="59"/>
      <c r="F110" s="59"/>
      <c r="G110" s="59"/>
      <c r="H110" s="59"/>
    </row>
    <row r="111" spans="1:8" ht="15.75" hidden="1" customHeight="1">
      <c r="A111" s="57"/>
      <c r="B111" s="59"/>
      <c r="C111" s="59"/>
      <c r="D111" s="59"/>
      <c r="E111" s="59"/>
      <c r="F111" s="59"/>
      <c r="G111" s="59"/>
      <c r="H111" s="59"/>
    </row>
    <row r="112" spans="1:8" ht="15.75" hidden="1" customHeight="1">
      <c r="A112" s="57">
        <f>A53</f>
        <v>0</v>
      </c>
      <c r="B112" s="59"/>
      <c r="C112" s="59"/>
      <c r="D112" s="59"/>
      <c r="E112" s="59"/>
      <c r="F112" s="59"/>
      <c r="G112" s="59"/>
      <c r="H112" s="59"/>
    </row>
    <row r="113" spans="1:8" ht="15.75" hidden="1" customHeight="1">
      <c r="A113" s="57"/>
      <c r="B113" s="59"/>
      <c r="C113" s="59"/>
      <c r="D113" s="59"/>
      <c r="E113" s="59"/>
      <c r="F113" s="59"/>
      <c r="G113" s="59"/>
      <c r="H113" s="59"/>
    </row>
    <row r="114" spans="1:8" ht="15.75" hidden="1" customHeight="1">
      <c r="A114" s="57"/>
      <c r="B114" s="59"/>
      <c r="C114" s="59"/>
      <c r="D114" s="59"/>
      <c r="E114" s="59"/>
      <c r="F114" s="59"/>
      <c r="G114" s="59"/>
      <c r="H114" s="59"/>
    </row>
    <row r="115" spans="1:8" ht="15.75" hidden="1" customHeight="1">
      <c r="A115" s="57" t="str">
        <f>A54</f>
        <v>Groundnut</v>
      </c>
      <c r="B115" s="59"/>
      <c r="C115" s="59"/>
      <c r="D115" s="59"/>
      <c r="E115" s="59"/>
      <c r="F115" s="59"/>
      <c r="G115" s="59"/>
      <c r="H115" s="59"/>
    </row>
    <row r="116" spans="1:8" ht="15.75" hidden="1" customHeight="1">
      <c r="A116" s="57"/>
      <c r="B116" s="59"/>
      <c r="C116" s="59"/>
      <c r="D116" s="59"/>
      <c r="E116" s="59"/>
      <c r="F116" s="59"/>
      <c r="G116" s="59"/>
      <c r="H116" s="59"/>
    </row>
    <row r="117" spans="1:8" ht="15.75" hidden="1" customHeight="1">
      <c r="A117" s="57"/>
      <c r="B117" s="59"/>
      <c r="C117" s="59"/>
      <c r="D117" s="59"/>
      <c r="E117" s="59"/>
      <c r="F117" s="59"/>
      <c r="G117" s="59"/>
      <c r="H117" s="59"/>
    </row>
    <row r="118" spans="1:8" ht="15.75" hidden="1" customHeight="1">
      <c r="A118" s="57">
        <f>A55</f>
        <v>0</v>
      </c>
      <c r="B118" s="59"/>
      <c r="C118" s="59"/>
      <c r="D118" s="59"/>
      <c r="E118" s="59"/>
      <c r="F118" s="59"/>
      <c r="G118" s="59"/>
      <c r="H118" s="59"/>
    </row>
    <row r="119" spans="1:8" ht="15.75" hidden="1" customHeight="1">
      <c r="A119" s="57"/>
      <c r="B119" s="59"/>
      <c r="C119" s="59"/>
      <c r="D119" s="59"/>
      <c r="E119" s="59"/>
      <c r="F119" s="59"/>
      <c r="G119" s="59"/>
      <c r="H119" s="59"/>
    </row>
    <row r="120" spans="1:8" ht="15.75" hidden="1" customHeight="1">
      <c r="A120" s="57"/>
      <c r="B120" s="59"/>
      <c r="C120" s="59"/>
      <c r="D120" s="59"/>
      <c r="E120" s="59"/>
      <c r="F120" s="59"/>
      <c r="G120" s="59"/>
      <c r="H120" s="59"/>
    </row>
    <row r="121" spans="1:8" ht="15.75" hidden="1" customHeight="1">
      <c r="A121" s="57">
        <f>A56</f>
        <v>0</v>
      </c>
      <c r="B121" s="59"/>
      <c r="C121" s="59"/>
      <c r="D121" s="59"/>
      <c r="E121" s="59"/>
      <c r="F121" s="59"/>
      <c r="G121" s="59"/>
      <c r="H121" s="59"/>
    </row>
    <row r="122" spans="1:8" ht="15.75" customHeight="1">
      <c r="A122" s="52"/>
      <c r="B122" s="96"/>
      <c r="C122" s="96"/>
      <c r="D122" s="96"/>
      <c r="E122" s="96"/>
      <c r="F122" s="96"/>
      <c r="G122" s="96"/>
      <c r="H122" s="96"/>
    </row>
    <row r="123" spans="1:8" ht="15.75" customHeight="1">
      <c r="A123" s="52"/>
      <c r="B123" s="96"/>
      <c r="C123" s="96"/>
      <c r="D123" s="96"/>
      <c r="E123" s="96"/>
      <c r="F123" s="96"/>
      <c r="G123" s="96"/>
      <c r="H123" s="96"/>
    </row>
    <row r="124" spans="1:8" ht="15.75" customHeight="1">
      <c r="A124" s="52" t="s">
        <v>605</v>
      </c>
      <c r="B124">
        <v>50</v>
      </c>
    </row>
    <row r="125" spans="1:8" ht="15.75" hidden="1" customHeight="1"/>
    <row r="126" spans="1:8" ht="15.75" hidden="1" customHeight="1"/>
    <row r="127" spans="1:8" ht="15.75" hidden="1" customHeight="1"/>
    <row r="128" spans="1:8" ht="15.75" hidden="1" customHeight="1"/>
    <row r="129" spans="1:13" ht="15.75" hidden="1" customHeight="1"/>
    <row r="130" spans="1:13" ht="15.75" customHeight="1"/>
    <row r="131" spans="1:13" ht="15.75" customHeight="1">
      <c r="A131" s="267" t="s">
        <v>606</v>
      </c>
      <c r="B131" s="251"/>
      <c r="C131" s="251"/>
      <c r="D131" s="251"/>
      <c r="E131" s="251"/>
      <c r="F131" s="251"/>
      <c r="G131" s="251"/>
      <c r="H131" s="251"/>
      <c r="I131" s="251"/>
      <c r="J131" s="251"/>
    </row>
    <row r="132" spans="1:13" ht="15.75" customHeight="1">
      <c r="A132" s="24"/>
      <c r="B132" s="24"/>
      <c r="C132" s="24"/>
      <c r="D132" s="24"/>
      <c r="E132" s="24"/>
      <c r="F132" s="24"/>
      <c r="G132" s="24"/>
      <c r="H132" s="24"/>
    </row>
    <row r="133" spans="1:13" ht="15.75" hidden="1" customHeight="1">
      <c r="A133" s="74"/>
      <c r="B133" s="74"/>
      <c r="C133" s="74"/>
      <c r="D133" s="172">
        <v>1</v>
      </c>
      <c r="E133" s="200">
        <f>+D133+2%</f>
        <v>1.02</v>
      </c>
      <c r="F133" s="200">
        <f t="shared" ref="F133:J133" si="22">+E133+2%</f>
        <v>1.04</v>
      </c>
      <c r="G133" s="200">
        <f t="shared" si="22"/>
        <v>1.06</v>
      </c>
      <c r="H133" s="200">
        <f t="shared" si="22"/>
        <v>1.08</v>
      </c>
      <c r="I133" s="200">
        <f t="shared" si="22"/>
        <v>1.1000000000000001</v>
      </c>
      <c r="J133" s="200">
        <f t="shared" si="22"/>
        <v>1.1200000000000001</v>
      </c>
    </row>
    <row r="134" spans="1:13" ht="15.75" hidden="1" customHeight="1">
      <c r="A134" s="52"/>
      <c r="B134" s="52"/>
      <c r="C134" s="52"/>
      <c r="D134" s="53">
        <v>1</v>
      </c>
      <c r="E134" s="201">
        <f>+E133</f>
        <v>1.02</v>
      </c>
      <c r="F134" s="201">
        <f t="shared" ref="F134:J134" si="23">+F133</f>
        <v>1.04</v>
      </c>
      <c r="G134" s="201">
        <f t="shared" si="23"/>
        <v>1.06</v>
      </c>
      <c r="H134" s="201">
        <f t="shared" si="23"/>
        <v>1.08</v>
      </c>
      <c r="I134" s="201">
        <f t="shared" si="23"/>
        <v>1.1000000000000001</v>
      </c>
      <c r="J134" s="201">
        <f t="shared" si="23"/>
        <v>1.1200000000000001</v>
      </c>
    </row>
    <row r="135" spans="1:13" ht="15.75" customHeight="1">
      <c r="A135" s="55" t="s">
        <v>150</v>
      </c>
      <c r="B135" s="55" t="s">
        <v>122</v>
      </c>
      <c r="C135" s="55" t="s">
        <v>132</v>
      </c>
      <c r="D135" s="56" t="s">
        <v>153</v>
      </c>
      <c r="E135" s="56" t="s">
        <v>154</v>
      </c>
      <c r="F135" s="56" t="s">
        <v>155</v>
      </c>
      <c r="G135" s="56" t="s">
        <v>156</v>
      </c>
      <c r="H135" s="56" t="s">
        <v>157</v>
      </c>
      <c r="I135" s="56" t="s">
        <v>158</v>
      </c>
      <c r="J135" s="56" t="s">
        <v>159</v>
      </c>
    </row>
    <row r="136" spans="1:13" ht="15.75" customHeight="1">
      <c r="A136" s="57"/>
      <c r="B136" s="57"/>
      <c r="C136" s="57"/>
      <c r="D136" s="57"/>
      <c r="E136" s="57"/>
      <c r="F136" s="57"/>
      <c r="G136" s="57"/>
      <c r="H136" s="57"/>
      <c r="I136" s="57"/>
      <c r="J136" s="57"/>
    </row>
    <row r="137" spans="1:13" ht="15.75" customHeight="1">
      <c r="A137" s="60" t="s">
        <v>347</v>
      </c>
      <c r="B137" s="60"/>
      <c r="C137" s="60"/>
      <c r="D137" s="108"/>
      <c r="E137" s="108"/>
      <c r="F137" s="108"/>
      <c r="G137" s="108"/>
      <c r="H137" s="108"/>
      <c r="I137" s="57"/>
      <c r="J137" s="57"/>
    </row>
    <row r="138" spans="1:13" ht="15.75" customHeight="1">
      <c r="A138" s="60" t="s">
        <v>607</v>
      </c>
      <c r="B138" s="60"/>
      <c r="C138" s="61"/>
      <c r="D138" s="59"/>
      <c r="E138" s="57"/>
      <c r="F138" s="57"/>
      <c r="G138" s="57"/>
      <c r="H138" s="57"/>
      <c r="I138" s="57"/>
      <c r="J138" s="57"/>
    </row>
    <row r="139" spans="1:13" ht="15.75" customHeight="1">
      <c r="A139" s="57" t="s">
        <v>323</v>
      </c>
      <c r="B139" s="57" t="s">
        <v>608</v>
      </c>
      <c r="C139" s="57">
        <f>66*50</f>
        <v>3300</v>
      </c>
      <c r="D139" s="59">
        <f>(((B95*100)*(1-'5.Closing Stock &amp; W Capital'!$D$16))/$B$124)*$C$139*D133</f>
        <v>6282914.2991999984</v>
      </c>
      <c r="E139" s="59">
        <f>E133*((((C95*100)*(1-'5.Closing Stock &amp; W Capital'!$D$16))+((B95*100)*'5.Closing Stock &amp; W Capital'!$D$16))/$B$124)*$C$139</f>
        <v>7180217.0393183995</v>
      </c>
      <c r="F139" s="59">
        <f>F133*((((D95*100)*(1-'5.Closing Stock &amp; W Capital'!$D$16))+((C95*100)*'5.Closing Stock &amp; W Capital'!$D$16))/$B$124)*$C$139</f>
        <v>7987763.8608767986</v>
      </c>
      <c r="G139" s="59">
        <f>G133*((((E95*100)*(1-'5.Closing Stock &amp; W Capital'!$D$16))+((D95*100)*'5.Closing Stock &amp; W Capital'!$D$16))/$B$124)*$C$139</f>
        <v>8820955.2305951994</v>
      </c>
      <c r="H139" s="59">
        <f>H133*((((F95*100)*(1-'5.Closing Stock &amp; W Capital'!$D$16))+((E95*100)*'5.Closing Stock &amp; W Capital'!$D$16))/$B$124)*$C$139</f>
        <v>9679791.1484735962</v>
      </c>
      <c r="I139" s="59">
        <f>I133*((((G95*100)*(1-'5.Closing Stock &amp; W Capital'!$D$16))+((F95*100)*'5.Closing Stock &amp; W Capital'!$D$16))/$B$124)*$C$139</f>
        <v>10564271.614511998</v>
      </c>
      <c r="J139" s="59">
        <f>J133*((((H95*100)*(1-'5.Closing Stock &amp; W Capital'!$D$16))+((G95*100)*'5.Closing Stock &amp; W Capital'!$D$16))/$B$124)*$C$139</f>
        <v>11474396.6287104</v>
      </c>
      <c r="K139">
        <f>+D139/C139</f>
        <v>1903.9134239999994</v>
      </c>
      <c r="L139">
        <v>1904</v>
      </c>
      <c r="M139">
        <f>+C139*L139*2</f>
        <v>12566400</v>
      </c>
    </row>
    <row r="140" spans="1:13" ht="15.75" customHeight="1">
      <c r="A140" s="57" t="s">
        <v>324</v>
      </c>
      <c r="B140" s="57" t="s">
        <v>608</v>
      </c>
      <c r="C140" s="57">
        <f>75*50</f>
        <v>3750</v>
      </c>
      <c r="D140" s="59">
        <f>(((B63*100)*(1-'5.Closing Stock &amp; W Capital'!$D$16))/B124)*$C$140*D133</f>
        <v>4306470.84</v>
      </c>
      <c r="E140" s="59">
        <f>((((C63*100)*(1-'5.Closing Stock &amp; W Capital'!$D$16))+((B63*100)*'5.Closing Stock &amp; W Capital'!$D$16))/$B$124)*$C$140*E133</f>
        <v>4921505.185680001</v>
      </c>
      <c r="F140" s="59">
        <f>((((D63*100)*(1-'5.Closing Stock &amp; W Capital'!$D$16))+((C63*100)*'5.Closing Stock &amp; W Capital'!$D$16))/$B$124)*$C$140*F133</f>
        <v>5475018.5193599993</v>
      </c>
      <c r="G140" s="59">
        <f>((((E63*100)*(1-'5.Closing Stock &amp; W Capital'!$D$16))+((D63*100)*'5.Closing Stock &amp; W Capital'!$D$16))/$B$124)*$C$140*G133</f>
        <v>6046109.2850400014</v>
      </c>
      <c r="H140" s="59">
        <f>((((F63*100)*(1-'5.Closing Stock &amp; W Capital'!$D$16))+((E63*100)*'5.Closing Stock &amp; W Capital'!$D$16))/$B$124)*$C$140*H133</f>
        <v>6634777.4827200007</v>
      </c>
      <c r="I140" s="59">
        <f>((((G63*100)*(1-'5.Closing Stock &amp; W Capital'!$D$16))+((F63*100)*'5.Closing Stock &amp; W Capital'!$D$16))/$B$124)*$C$140*I133</f>
        <v>7241023.1124000046</v>
      </c>
      <c r="J140" s="59">
        <f>((((H63*100)*(1-'5.Closing Stock &amp; W Capital'!$D$16))+((G63*100)*'5.Closing Stock &amp; W Capital'!$D$16))/$B$124)*$C$140*J133</f>
        <v>7864846.1740800012</v>
      </c>
      <c r="K140">
        <f t="shared" ref="K140:K142" si="24">+D140/C140</f>
        <v>1148.3922239999999</v>
      </c>
      <c r="L140">
        <v>1148</v>
      </c>
      <c r="M140">
        <f t="shared" ref="M140:M142" si="25">+C140*L140*2</f>
        <v>8610000</v>
      </c>
    </row>
    <row r="141" spans="1:13" ht="15.75" customHeight="1">
      <c r="A141" s="57" t="s">
        <v>609</v>
      </c>
      <c r="B141" s="57" t="s">
        <v>608</v>
      </c>
      <c r="C141" s="57">
        <f>80*50</f>
        <v>4000</v>
      </c>
      <c r="D141" s="59">
        <f>(((B78*100)*(1-'5.Closing Stock &amp; W Capital'!D16))/$B$124)*$C$141*D133</f>
        <v>1813250.8800000004</v>
      </c>
      <c r="E141" s="59">
        <f>((((C78*100)*(1-'5.Closing Stock &amp; W Capital'!$D$16))+((B78*100)*'5.Closing Stock &amp; W Capital'!$D$16))/$B$124)*$C$141*E133</f>
        <v>2072212.7097600002</v>
      </c>
      <c r="F141" s="59">
        <f>((((D78*100)*(1-'5.Closing Stock &amp; W Capital'!$D$16))+((C78*100)*'5.Closing Stock &amp; W Capital'!$D$16))/$B$124)*$C$141*F133</f>
        <v>2305270.9555200003</v>
      </c>
      <c r="G141" s="59">
        <f>((((E78*100)*(1-'5.Closing Stock &amp; W Capital'!$D$16))+((D78*100)*'5.Closing Stock &amp; W Capital'!$D$16))/$B$124)*$C$141*G133</f>
        <v>2545730.2252800004</v>
      </c>
      <c r="H141" s="59">
        <f>((((F78*100)*(1-'5.Closing Stock &amp; W Capital'!$D$16))+((E78*100)*'5.Closing Stock &amp; W Capital'!$D$16))/$B$124)*$C$141*H133</f>
        <v>2793590.5190400016</v>
      </c>
      <c r="I141" s="59">
        <f>((((G78*100)*(1-'5.Closing Stock &amp; W Capital'!$D$16))+((F78*100)*'5.Closing Stock &amp; W Capital'!$D$16))/$B$124)*$C$141*I133</f>
        <v>3048851.8368000011</v>
      </c>
      <c r="J141" s="59">
        <f>((((H78*100)*(1-'5.Closing Stock &amp; W Capital'!$D$16))+((G78*100)*'5.Closing Stock &amp; W Capital'!$D$16))/$B$124)*$C$141*J133</f>
        <v>3311514.1785600008</v>
      </c>
      <c r="K141">
        <f t="shared" si="24"/>
        <v>453.31272000000007</v>
      </c>
      <c r="L141">
        <v>453</v>
      </c>
      <c r="M141">
        <f t="shared" si="25"/>
        <v>3624000</v>
      </c>
    </row>
    <row r="142" spans="1:13" ht="15.75" customHeight="1">
      <c r="A142" s="57" t="s">
        <v>326</v>
      </c>
      <c r="B142" s="57" t="s">
        <v>608</v>
      </c>
      <c r="C142" s="57">
        <f>75*50</f>
        <v>3750</v>
      </c>
      <c r="D142" s="59">
        <f>(((B70*100)*(1-'5.Closing Stock &amp; W Capital'!D16))/B124)*$C$142*D133</f>
        <v>2776540.4099999997</v>
      </c>
      <c r="E142" s="59">
        <f>((((C70*100)*(1-'5.Closing Stock &amp; W Capital'!$D$16))+((B70*100)*'5.Closing Stock &amp; W Capital'!$D$16))/$B$124)*$C$142*E133</f>
        <v>3173075.7118199999</v>
      </c>
      <c r="F142" s="59">
        <f>((((D70*100)*(1-'5.Closing Stock &amp; W Capital'!$D$16))+((C70*100)*'5.Closing Stock &amp; W Capital'!$D$16))/$B$124)*$C$142*F133</f>
        <v>3529946.1506399997</v>
      </c>
      <c r="G142" s="59">
        <f>((((E70*100)*(1-'5.Closing Stock &amp; W Capital'!$D$16))+((D70*100)*'5.Closing Stock &amp; W Capital'!$D$16))/$B$124)*$C$142*G133</f>
        <v>3898149.4074599994</v>
      </c>
      <c r="H142" s="59">
        <f>((((F70*100)*(1-'5.Closing Stock &amp; W Capital'!$D$16))+((E70*100)*'5.Closing Stock &amp; W Capital'!$D$16))/$B$124)*$C$142*H133</f>
        <v>4277685.4822800001</v>
      </c>
      <c r="I142" s="59">
        <f>((((G70*100)*(1-'5.Closing Stock &amp; W Capital'!$D$16))+((F70*100)*'5.Closing Stock &amp; W Capital'!$D$16))/$B$124)*$C$142*I133</f>
        <v>4668554.3751000008</v>
      </c>
      <c r="J142" s="59">
        <f>((((H70*100)*(1-'5.Closing Stock &amp; W Capital'!$D$16))+((G70*100)*'5.Closing Stock &amp; W Capital'!$D$16))/$B$124)*$C$142*J133</f>
        <v>5070756.0859199995</v>
      </c>
      <c r="K142">
        <f t="shared" si="24"/>
        <v>740.41077599999994</v>
      </c>
      <c r="L142">
        <v>740</v>
      </c>
      <c r="M142">
        <f t="shared" si="25"/>
        <v>5550000</v>
      </c>
    </row>
    <row r="143" spans="1:13" ht="15.75" customHeight="1">
      <c r="A143" s="57"/>
      <c r="B143" s="57"/>
      <c r="C143" s="57"/>
      <c r="D143" s="59"/>
      <c r="E143" s="59"/>
      <c r="F143" s="59"/>
      <c r="G143" s="59"/>
      <c r="H143" s="59"/>
      <c r="I143" s="59"/>
      <c r="J143" s="59"/>
    </row>
    <row r="144" spans="1:13" ht="15.75" customHeight="1">
      <c r="A144" s="60" t="s">
        <v>604</v>
      </c>
      <c r="B144" s="60" t="s">
        <v>610</v>
      </c>
      <c r="C144" s="60">
        <v>10</v>
      </c>
      <c r="D144" s="59">
        <f t="shared" ref="D144:J144" si="26">((B63+B95+B78+B70)*100)*$C$144*D133</f>
        <v>2166341.4000000004</v>
      </c>
      <c r="E144" s="59">
        <f t="shared" si="26"/>
        <v>2430635.0507999999</v>
      </c>
      <c r="F144" s="59">
        <f t="shared" si="26"/>
        <v>2703594.0671999999</v>
      </c>
      <c r="G144" s="59">
        <f t="shared" si="26"/>
        <v>2985218.4492000006</v>
      </c>
      <c r="H144" s="59">
        <f t="shared" si="26"/>
        <v>3275508.1968000005</v>
      </c>
      <c r="I144" s="59">
        <f t="shared" si="26"/>
        <v>3574463.31</v>
      </c>
      <c r="J144" s="59">
        <f t="shared" si="26"/>
        <v>3882083.7887999997</v>
      </c>
    </row>
    <row r="145" spans="1:11" ht="15.75" customHeight="1">
      <c r="A145" s="57"/>
      <c r="B145" s="57"/>
      <c r="C145" s="57"/>
      <c r="D145" s="59"/>
      <c r="E145" s="59"/>
      <c r="F145" s="59"/>
      <c r="G145" s="59"/>
      <c r="H145" s="59"/>
      <c r="I145" s="59"/>
      <c r="J145" s="59"/>
      <c r="K145" s="178">
        <f>[2]Output!T58*70*K133</f>
        <v>0</v>
      </c>
    </row>
    <row r="146" spans="1:11" ht="15.75" customHeight="1">
      <c r="A146" s="60" t="s">
        <v>580</v>
      </c>
      <c r="B146" s="60" t="s">
        <v>610</v>
      </c>
      <c r="C146" s="57">
        <v>6</v>
      </c>
      <c r="D146" s="59">
        <f t="shared" ref="D146:J146" si="27">(B35*100)*$C$146*D133</f>
        <v>604031.49</v>
      </c>
      <c r="E146" s="59">
        <f t="shared" si="27"/>
        <v>677723.33178000012</v>
      </c>
      <c r="F146" s="59">
        <f t="shared" si="27"/>
        <v>753831.29952</v>
      </c>
      <c r="G146" s="59">
        <f t="shared" si="27"/>
        <v>832355.39321999997</v>
      </c>
      <c r="H146" s="59">
        <f t="shared" si="27"/>
        <v>913295.61287999991</v>
      </c>
      <c r="I146" s="59">
        <f t="shared" si="27"/>
        <v>996651.95850000007</v>
      </c>
      <c r="J146" s="59">
        <f t="shared" si="27"/>
        <v>1082424.4300799998</v>
      </c>
    </row>
    <row r="147" spans="1:11" ht="15.75" customHeight="1">
      <c r="A147" s="57"/>
      <c r="B147" s="57"/>
      <c r="C147" s="57"/>
      <c r="D147" s="59"/>
      <c r="E147" s="59"/>
      <c r="F147" s="59"/>
      <c r="G147" s="59"/>
      <c r="H147" s="59"/>
      <c r="I147" s="59"/>
      <c r="J147" s="59"/>
    </row>
    <row r="148" spans="1:11" ht="15.75" customHeight="1">
      <c r="A148" s="60" t="s">
        <v>347</v>
      </c>
      <c r="B148" s="60"/>
      <c r="C148" s="60"/>
      <c r="D148" s="61">
        <f t="shared" ref="D148:J148" si="28">SUM(D139:D146)</f>
        <v>17949549.319199998</v>
      </c>
      <c r="E148" s="61">
        <f t="shared" si="28"/>
        <v>20455369.029158402</v>
      </c>
      <c r="F148" s="61">
        <f t="shared" si="28"/>
        <v>22755424.853116799</v>
      </c>
      <c r="G148" s="61">
        <f t="shared" si="28"/>
        <v>25128517.990795203</v>
      </c>
      <c r="H148" s="61">
        <f t="shared" si="28"/>
        <v>27574648.442193598</v>
      </c>
      <c r="I148" s="61">
        <f t="shared" si="28"/>
        <v>30093816.207312007</v>
      </c>
      <c r="J148" s="61">
        <f t="shared" si="28"/>
        <v>32686021.286150403</v>
      </c>
    </row>
    <row r="149" spans="1:11" ht="15.75" customHeight="1">
      <c r="A149" s="57"/>
      <c r="B149" s="57"/>
      <c r="C149" s="57"/>
      <c r="D149" s="59"/>
      <c r="E149" s="59"/>
      <c r="F149" s="59"/>
      <c r="G149" s="59"/>
      <c r="H149" s="59"/>
      <c r="I149" s="59"/>
      <c r="J149" s="59"/>
    </row>
    <row r="150" spans="1:11" ht="15.75" customHeight="1">
      <c r="A150" s="60" t="s">
        <v>581</v>
      </c>
      <c r="B150" s="60"/>
      <c r="C150" s="60"/>
      <c r="D150" s="59"/>
      <c r="E150" s="59"/>
      <c r="F150" s="59"/>
      <c r="G150" s="59"/>
      <c r="H150" s="59"/>
      <c r="I150" s="59"/>
      <c r="J150" s="59"/>
    </row>
    <row r="151" spans="1:11" ht="15.75" customHeight="1">
      <c r="A151" s="60" t="s">
        <v>352</v>
      </c>
      <c r="B151" s="60"/>
      <c r="C151" s="57"/>
      <c r="D151" s="59"/>
      <c r="E151" s="59"/>
      <c r="F151" s="59"/>
      <c r="G151" s="59"/>
      <c r="H151" s="59"/>
      <c r="I151" s="59"/>
      <c r="J151" s="59"/>
    </row>
    <row r="152" spans="1:11" ht="15.75" customHeight="1">
      <c r="A152" s="57" t="s">
        <v>323</v>
      </c>
      <c r="B152" s="57" t="s">
        <v>579</v>
      </c>
      <c r="C152" s="59">
        <f>+'12.Facility 1 - Trading'!C243</f>
        <v>5500</v>
      </c>
      <c r="D152" s="59">
        <f t="shared" ref="D152" si="29">(B47)*$C$152*D133</f>
        <v>6678267.7499999991</v>
      </c>
      <c r="E152" s="59">
        <f>(C47)*$C$152*E134</f>
        <v>7493016.4154999983</v>
      </c>
      <c r="F152" s="59">
        <f t="shared" ref="F152:J152" si="30">(D47)*$C$152*F134</f>
        <v>8334478.1519999979</v>
      </c>
      <c r="G152" s="59">
        <f t="shared" si="30"/>
        <v>9202652.9594999999</v>
      </c>
      <c r="H152" s="59">
        <f t="shared" si="30"/>
        <v>10097540.837999998</v>
      </c>
      <c r="I152" s="59">
        <f t="shared" si="30"/>
        <v>11019141.7875</v>
      </c>
      <c r="J152" s="59">
        <f t="shared" si="30"/>
        <v>11967455.807999996</v>
      </c>
      <c r="K152" s="132">
        <f>+L139*C152</f>
        <v>10472000</v>
      </c>
    </row>
    <row r="153" spans="1:11" ht="15.75" customHeight="1">
      <c r="A153" s="57" t="s">
        <v>611</v>
      </c>
      <c r="B153" s="57" t="s">
        <v>579</v>
      </c>
      <c r="C153" s="59">
        <f>+'12.Facility 1 - Trading'!C234</f>
        <v>6500</v>
      </c>
      <c r="D153" s="59">
        <f t="shared" ref="D153" si="31">(B38)*$C$153*D133</f>
        <v>4760554.5</v>
      </c>
      <c r="E153" s="59">
        <f>(C38)*$C$153*E134</f>
        <v>5341342.1490000002</v>
      </c>
      <c r="F153" s="59">
        <f t="shared" ref="F153:J153" si="32">(D38)*$C$153*F134</f>
        <v>5941172.0159999998</v>
      </c>
      <c r="G153" s="59">
        <f t="shared" si="32"/>
        <v>6560044.1009999998</v>
      </c>
      <c r="H153" s="59">
        <f t="shared" si="32"/>
        <v>7197958.404000001</v>
      </c>
      <c r="I153" s="59">
        <f t="shared" si="32"/>
        <v>7854914.9250000026</v>
      </c>
      <c r="J153" s="59">
        <f t="shared" si="32"/>
        <v>8530913.6640000027</v>
      </c>
      <c r="K153" s="132">
        <f t="shared" ref="K153:K155" si="33">+L140*C153</f>
        <v>7462000</v>
      </c>
    </row>
    <row r="154" spans="1:11" ht="15.75" customHeight="1">
      <c r="A154" s="57" t="s">
        <v>612</v>
      </c>
      <c r="B154" s="57" t="s">
        <v>579</v>
      </c>
      <c r="C154" s="59">
        <f>+'12.Facility 1 - Trading'!C238</f>
        <v>7000</v>
      </c>
      <c r="D154" s="59">
        <f t="shared" ref="D154" si="34">(B42)*$C$154*D133</f>
        <v>2023717.5000000002</v>
      </c>
      <c r="E154" s="59">
        <f>(C42)*$C$154*E134</f>
        <v>2270611.0350000006</v>
      </c>
      <c r="F154" s="59">
        <f t="shared" ref="F154:J154" si="35">(D42)*$C$154*F134</f>
        <v>2525599.44</v>
      </c>
      <c r="G154" s="59">
        <f t="shared" si="35"/>
        <v>2788682.7150000003</v>
      </c>
      <c r="H154" s="59">
        <f t="shared" si="35"/>
        <v>3059860.8600000008</v>
      </c>
      <c r="I154" s="59">
        <f t="shared" si="35"/>
        <v>3339133.8750000014</v>
      </c>
      <c r="J154" s="59">
        <f t="shared" si="35"/>
        <v>3626501.7600000012</v>
      </c>
      <c r="K154" s="132">
        <f t="shared" si="33"/>
        <v>3171000</v>
      </c>
    </row>
    <row r="155" spans="1:11" ht="15.75" customHeight="1">
      <c r="A155" s="57" t="s">
        <v>326</v>
      </c>
      <c r="B155" s="57" t="s">
        <v>579</v>
      </c>
      <c r="C155" s="59">
        <f>+'12.Facility 1 - Trading'!C236</f>
        <v>6500</v>
      </c>
      <c r="D155" s="59">
        <f t="shared" ref="D155" si="36">(B40)*$C$155*D133</f>
        <v>3069304.875</v>
      </c>
      <c r="E155" s="59">
        <f>(C40)*$C$155*E134</f>
        <v>3443760.0697499993</v>
      </c>
      <c r="F155" s="59">
        <f t="shared" ref="F155:J155" si="37">(D40)*$C$155*F134</f>
        <v>3830492.4839999992</v>
      </c>
      <c r="G155" s="59">
        <f t="shared" si="37"/>
        <v>4229502.1177499993</v>
      </c>
      <c r="H155" s="59">
        <f t="shared" si="37"/>
        <v>4640788.9710000008</v>
      </c>
      <c r="I155" s="59">
        <f t="shared" si="37"/>
        <v>5064353.0437500002</v>
      </c>
      <c r="J155" s="59">
        <f t="shared" si="37"/>
        <v>5500194.3360000001</v>
      </c>
      <c r="K155" s="132">
        <f t="shared" si="33"/>
        <v>4810000</v>
      </c>
    </row>
    <row r="156" spans="1:11" ht="15.75" customHeight="1">
      <c r="A156" s="57" t="s">
        <v>613</v>
      </c>
      <c r="B156" s="57">
        <v>2</v>
      </c>
      <c r="C156" s="57">
        <v>100</v>
      </c>
      <c r="D156" s="59">
        <f t="shared" ref="D156" si="38">(B32/10)*$B$156*$C$156*D133</f>
        <v>80537.531999999992</v>
      </c>
      <c r="E156" s="59">
        <f>(C32/10)*$B$156*$C$156*E134</f>
        <v>90363.110904000001</v>
      </c>
      <c r="F156" s="59">
        <f t="shared" ref="F156:J156" si="39">(D32/10)*$B$156*$C$156*F134</f>
        <v>100510.839936</v>
      </c>
      <c r="G156" s="59">
        <f t="shared" si="39"/>
        <v>110980.71909599999</v>
      </c>
      <c r="H156" s="59">
        <f t="shared" si="39"/>
        <v>121772.74838399999</v>
      </c>
      <c r="I156" s="59">
        <f t="shared" si="39"/>
        <v>132886.92780000003</v>
      </c>
      <c r="J156" s="59">
        <f t="shared" si="39"/>
        <v>144323.25734400001</v>
      </c>
    </row>
    <row r="157" spans="1:11" ht="15.75" customHeight="1">
      <c r="A157" s="57" t="s">
        <v>614</v>
      </c>
      <c r="B157" s="57">
        <v>3</v>
      </c>
      <c r="C157" s="57">
        <v>300</v>
      </c>
      <c r="D157" s="59">
        <f t="shared" ref="D157" si="40">B12*$B$157*$C$157*D133</f>
        <v>22651.180874999995</v>
      </c>
      <c r="E157" s="59">
        <f>C12*$B$157*$C$157*E134</f>
        <v>25414.62494175</v>
      </c>
      <c r="F157" s="59">
        <f t="shared" ref="F157:J157" si="41">D12*$B$157*$C$157*F134</f>
        <v>28268.673731999999</v>
      </c>
      <c r="G157" s="59">
        <f t="shared" si="41"/>
        <v>31213.327245749992</v>
      </c>
      <c r="H157" s="59">
        <f t="shared" si="41"/>
        <v>34248.585482999995</v>
      </c>
      <c r="I157" s="59">
        <f t="shared" si="41"/>
        <v>37374.448443750007</v>
      </c>
      <c r="J157" s="59">
        <f t="shared" si="41"/>
        <v>40590.916128000004</v>
      </c>
    </row>
    <row r="158" spans="1:11" ht="15.75" customHeight="1">
      <c r="A158" s="57" t="s">
        <v>583</v>
      </c>
      <c r="B158" s="57">
        <f>'2.Capex Details'!H22*0.746*8</f>
        <v>179.04</v>
      </c>
      <c r="C158" s="57">
        <v>8</v>
      </c>
      <c r="D158" s="59">
        <f t="shared" ref="D158" si="42">$B$158*$C$158*B12*D133</f>
        <v>36048.599323199989</v>
      </c>
      <c r="E158" s="59">
        <f>$B$158*$C$158*C12*E134</f>
        <v>40446.528440630398</v>
      </c>
      <c r="F158" s="59">
        <f t="shared" ref="F158:J158" si="43">$B$158*$C$158*D12*F134</f>
        <v>44988.651955353598</v>
      </c>
      <c r="G158" s="59">
        <f t="shared" si="43"/>
        <v>49674.969867369597</v>
      </c>
      <c r="H158" s="59">
        <f t="shared" si="43"/>
        <v>54505.482176678401</v>
      </c>
      <c r="I158" s="59">
        <f t="shared" si="43"/>
        <v>59480.18888328001</v>
      </c>
      <c r="J158" s="59">
        <f t="shared" si="43"/>
        <v>64599.089987174397</v>
      </c>
    </row>
    <row r="159" spans="1:11" ht="15.75" customHeight="1">
      <c r="A159" s="57" t="s">
        <v>615</v>
      </c>
      <c r="B159" s="57"/>
      <c r="C159" s="57">
        <v>10</v>
      </c>
      <c r="D159" s="59">
        <f t="shared" ref="D159" si="44">((B35*100)/50)*$C$159*D133</f>
        <v>20134.382999999998</v>
      </c>
      <c r="E159" s="59">
        <f>((C35*100)/50)*$C$159*E134</f>
        <v>22590.777726</v>
      </c>
      <c r="F159" s="59">
        <f t="shared" ref="F159:J159" si="45">((D35*100)/50)*$C$159*F134</f>
        <v>25127.709983999997</v>
      </c>
      <c r="G159" s="59">
        <f t="shared" si="45"/>
        <v>27745.179773999997</v>
      </c>
      <c r="H159" s="59">
        <f t="shared" si="45"/>
        <v>30443.187095999994</v>
      </c>
      <c r="I159" s="59">
        <f t="shared" si="45"/>
        <v>33221.731950000009</v>
      </c>
      <c r="J159" s="59">
        <f t="shared" si="45"/>
        <v>36080.814336000003</v>
      </c>
    </row>
    <row r="160" spans="1:11" ht="15.75" customHeight="1">
      <c r="A160" s="138" t="s">
        <v>616</v>
      </c>
      <c r="B160" s="138"/>
      <c r="C160" s="138">
        <v>20</v>
      </c>
      <c r="D160" s="59">
        <f t="shared" ref="D160" si="46">(((B78+B69+B95+B63)*100)/50)*$C$160*D133</f>
        <v>71543.232000000004</v>
      </c>
      <c r="E160" s="59">
        <f>(((C78+C69+C95+C63)*100)/50)*$C$160*E134</f>
        <v>80271.50630400001</v>
      </c>
      <c r="F160" s="59">
        <f t="shared" ref="F160:J160" si="47">(((D78+D69+D95+D63)*100)/50)*$C$160*F134</f>
        <v>89285.953535999986</v>
      </c>
      <c r="G160" s="59">
        <f t="shared" si="47"/>
        <v>98586.573696000007</v>
      </c>
      <c r="H160" s="59">
        <f t="shared" si="47"/>
        <v>108173.36678400001</v>
      </c>
      <c r="I160" s="59">
        <f t="shared" si="47"/>
        <v>118046.3328</v>
      </c>
      <c r="J160" s="59">
        <f t="shared" si="47"/>
        <v>128205.47174400001</v>
      </c>
    </row>
    <row r="161" spans="1:10" ht="15.75" customHeight="1">
      <c r="A161" s="57" t="s">
        <v>617</v>
      </c>
      <c r="B161" s="57"/>
      <c r="C161" s="57">
        <v>100</v>
      </c>
      <c r="D161" s="59">
        <f t="shared" ref="D161" si="48">(((B78+B69+B95+B63)*100)/50)*$C$161*D133</f>
        <v>357716.16000000003</v>
      </c>
      <c r="E161" s="59">
        <f>(((C78+C69+C95+C63)*100)/50)*$C$161*E134</f>
        <v>401357.53152000002</v>
      </c>
      <c r="F161" s="59">
        <f t="shared" ref="F161:J161" si="49">(((D78+D69+D95+D63)*100)/50)*$C$161*F134</f>
        <v>446429.76767999993</v>
      </c>
      <c r="G161" s="59">
        <f t="shared" si="49"/>
        <v>492932.86848000006</v>
      </c>
      <c r="H161" s="59">
        <f t="shared" si="49"/>
        <v>540866.83392</v>
      </c>
      <c r="I161" s="59">
        <f t="shared" si="49"/>
        <v>590231.66399999999</v>
      </c>
      <c r="J161" s="59">
        <f t="shared" si="49"/>
        <v>641027.35872000013</v>
      </c>
    </row>
    <row r="162" spans="1:10" ht="15.75" customHeight="1">
      <c r="A162" s="115"/>
      <c r="B162" s="115"/>
      <c r="C162" s="115"/>
      <c r="D162" s="115"/>
      <c r="E162" s="115"/>
      <c r="F162" s="115"/>
      <c r="G162" s="115"/>
      <c r="H162" s="115"/>
      <c r="I162" s="115"/>
      <c r="J162" s="115"/>
    </row>
    <row r="163" spans="1:10" ht="15.75" customHeight="1">
      <c r="A163" s="115"/>
      <c r="B163" s="115"/>
      <c r="C163" s="115"/>
      <c r="D163" s="115"/>
      <c r="E163" s="115"/>
      <c r="F163" s="115"/>
      <c r="G163" s="115"/>
      <c r="H163" s="115"/>
      <c r="I163" s="115"/>
      <c r="J163" s="115"/>
    </row>
    <row r="164" spans="1:10" ht="15.75" customHeight="1">
      <c r="A164" s="115"/>
      <c r="B164" s="115"/>
      <c r="C164" s="115"/>
      <c r="D164" s="115"/>
      <c r="E164" s="115"/>
      <c r="F164" s="115"/>
      <c r="G164" s="115"/>
      <c r="H164" s="115"/>
      <c r="I164" s="115"/>
      <c r="J164" s="115"/>
    </row>
    <row r="165" spans="1:10" ht="15.75" customHeight="1">
      <c r="A165" s="115"/>
      <c r="B165" s="115"/>
      <c r="C165" s="115"/>
      <c r="D165" s="115"/>
      <c r="E165" s="115"/>
      <c r="F165" s="115"/>
      <c r="G165" s="115"/>
      <c r="H165" s="115"/>
      <c r="I165" s="115"/>
      <c r="J165" s="115"/>
    </row>
    <row r="166" spans="1:10" ht="15.75" customHeight="1">
      <c r="A166" s="59" t="s">
        <v>586</v>
      </c>
      <c r="B166" s="59"/>
      <c r="C166" s="59"/>
      <c r="D166" s="59"/>
      <c r="E166" s="59">
        <f>'5.Closing Stock &amp; W Capital'!F8</f>
        <v>335255.19104396401</v>
      </c>
      <c r="F166" s="59">
        <f>'5.Closing Stock &amp; W Capital'!G8</f>
        <v>376156.32435132755</v>
      </c>
      <c r="G166" s="59">
        <f>'5.Closing Stock &amp; W Capital'!H8</f>
        <v>418398.47842286713</v>
      </c>
      <c r="H166" s="59">
        <f>'5.Closing Stock &amp; W Capital'!I8</f>
        <v>461981.65325858246</v>
      </c>
      <c r="I166" s="59">
        <f>'5.Closing Stock &amp; W Capital'!J8</f>
        <v>506905.84885847353</v>
      </c>
      <c r="J166" s="59">
        <f>'5.Closing Stock &amp; W Capital'!K8</f>
        <v>553171.06522254064</v>
      </c>
    </row>
    <row r="167" spans="1:10" ht="15.75" customHeight="1">
      <c r="A167" s="59" t="s">
        <v>587</v>
      </c>
      <c r="B167" s="59"/>
      <c r="C167" s="59"/>
      <c r="D167" s="59">
        <f>'5.Closing Stock &amp; W Capital'!E16</f>
        <v>335255.19104396401</v>
      </c>
      <c r="E167" s="59">
        <f>'5.Closing Stock &amp; W Capital'!F16</f>
        <v>376156.32435132755</v>
      </c>
      <c r="F167" s="59">
        <f>'5.Closing Stock &amp; W Capital'!G16</f>
        <v>418398.47842286713</v>
      </c>
      <c r="G167" s="59">
        <f>'5.Closing Stock &amp; W Capital'!H16</f>
        <v>461981.65325858246</v>
      </c>
      <c r="H167" s="59">
        <f>'5.Closing Stock &amp; W Capital'!I16</f>
        <v>506905.84885847353</v>
      </c>
      <c r="I167" s="59">
        <f>'5.Closing Stock &amp; W Capital'!J16</f>
        <v>553171.06522254064</v>
      </c>
      <c r="J167" s="59">
        <f>'5.Closing Stock &amp; W Capital'!K16</f>
        <v>600777.30235078349</v>
      </c>
    </row>
    <row r="168" spans="1:10" ht="15.75" customHeight="1">
      <c r="A168" s="59"/>
      <c r="B168" s="59"/>
      <c r="C168" s="59"/>
      <c r="D168" s="59"/>
      <c r="E168" s="59"/>
      <c r="F168" s="59"/>
      <c r="G168" s="59"/>
      <c r="H168" s="59"/>
      <c r="I168" s="59"/>
      <c r="J168" s="59"/>
    </row>
    <row r="169" spans="1:10" ht="15.75" customHeight="1">
      <c r="A169" s="61" t="s">
        <v>353</v>
      </c>
      <c r="B169" s="59"/>
      <c r="C169" s="59"/>
      <c r="D169" s="61">
        <f t="shared" ref="D169:J169" si="50">SUM(D152:D166)-D167</f>
        <v>16785220.521154232</v>
      </c>
      <c r="E169" s="61">
        <f t="shared" si="50"/>
        <v>19168272.615779016</v>
      </c>
      <c r="F169" s="61">
        <f t="shared" si="50"/>
        <v>21324111.534751818</v>
      </c>
      <c r="G169" s="61">
        <f t="shared" si="50"/>
        <v>23548432.356573407</v>
      </c>
      <c r="H169" s="61">
        <f t="shared" si="50"/>
        <v>25841235.081243783</v>
      </c>
      <c r="I169" s="61">
        <f t="shared" si="50"/>
        <v>28202519.708762966</v>
      </c>
      <c r="J169" s="61">
        <f t="shared" si="50"/>
        <v>30632286.239130929</v>
      </c>
    </row>
    <row r="170" spans="1:10" ht="15.75" customHeight="1">
      <c r="A170" s="52"/>
      <c r="B170" s="52"/>
      <c r="C170" s="52"/>
      <c r="D170" s="52"/>
      <c r="E170" s="52"/>
      <c r="F170" s="52"/>
      <c r="G170" s="52"/>
      <c r="H170" s="52"/>
      <c r="I170" s="52"/>
      <c r="J170" s="52"/>
    </row>
    <row r="171" spans="1:10" ht="15.75" customHeight="1">
      <c r="A171" s="136" t="s">
        <v>354</v>
      </c>
      <c r="B171" s="136"/>
      <c r="C171" s="136"/>
      <c r="D171" s="61"/>
      <c r="E171" s="61"/>
      <c r="F171" s="61"/>
      <c r="G171" s="61"/>
      <c r="H171" s="61"/>
      <c r="I171" s="61"/>
      <c r="J171" s="61"/>
    </row>
    <row r="172" spans="1:10" ht="15.75" customHeight="1">
      <c r="A172" s="57" t="s">
        <v>588</v>
      </c>
      <c r="B172" s="57">
        <v>1</v>
      </c>
      <c r="C172" s="59">
        <f>20000-1000</f>
        <v>19000</v>
      </c>
      <c r="D172" s="59">
        <f>$B$172*$C$172*12*D133</f>
        <v>228000</v>
      </c>
      <c r="E172" s="59">
        <f t="shared" ref="E172:J172" si="51">$B$172*$C$172*12*E133</f>
        <v>232560</v>
      </c>
      <c r="F172" s="59">
        <f t="shared" si="51"/>
        <v>237120</v>
      </c>
      <c r="G172" s="59">
        <f t="shared" si="51"/>
        <v>241680</v>
      </c>
      <c r="H172" s="59">
        <f t="shared" si="51"/>
        <v>246240.00000000003</v>
      </c>
      <c r="I172" s="59">
        <f t="shared" si="51"/>
        <v>250800.00000000003</v>
      </c>
      <c r="J172" s="59">
        <f t="shared" si="51"/>
        <v>255360.00000000003</v>
      </c>
    </row>
    <row r="173" spans="1:10" ht="15.75" customHeight="1">
      <c r="A173" s="57"/>
      <c r="B173" s="57"/>
      <c r="C173" s="59"/>
      <c r="D173" s="59"/>
      <c r="E173" s="59"/>
      <c r="F173" s="59"/>
      <c r="G173" s="59"/>
      <c r="H173" s="59"/>
      <c r="I173" s="59"/>
      <c r="J173" s="59"/>
    </row>
    <row r="174" spans="1:10" ht="15.75" customHeight="1">
      <c r="A174" s="57"/>
      <c r="B174" s="57"/>
      <c r="C174" s="59"/>
      <c r="D174" s="59"/>
      <c r="E174" s="59"/>
      <c r="F174" s="59"/>
      <c r="G174" s="59"/>
      <c r="H174" s="59"/>
      <c r="I174" s="59"/>
      <c r="J174" s="59"/>
    </row>
    <row r="175" spans="1:10" ht="15.75" customHeight="1">
      <c r="A175" s="57"/>
      <c r="B175" s="57"/>
      <c r="C175" s="59"/>
      <c r="D175" s="59"/>
      <c r="E175" s="59"/>
      <c r="F175" s="59"/>
      <c r="G175" s="59"/>
      <c r="H175" s="59"/>
      <c r="I175" s="59"/>
      <c r="J175" s="59"/>
    </row>
    <row r="176" spans="1:10" ht="15.75" customHeight="1">
      <c r="A176" s="57"/>
      <c r="B176" s="57"/>
      <c r="C176" s="59"/>
      <c r="D176" s="59"/>
      <c r="E176" s="59"/>
      <c r="F176" s="59"/>
      <c r="G176" s="59"/>
      <c r="H176" s="59"/>
      <c r="I176" s="59"/>
      <c r="J176" s="59"/>
    </row>
    <row r="177" spans="1:10" ht="15.75" customHeight="1">
      <c r="A177" s="60" t="s">
        <v>354</v>
      </c>
      <c r="B177" s="60"/>
      <c r="C177" s="60"/>
      <c r="D177" s="61">
        <f t="shared" ref="D177:J177" si="52">SUM(D172:D176)</f>
        <v>228000</v>
      </c>
      <c r="E177" s="61">
        <f t="shared" si="52"/>
        <v>232560</v>
      </c>
      <c r="F177" s="61">
        <f t="shared" si="52"/>
        <v>237120</v>
      </c>
      <c r="G177" s="61">
        <f t="shared" si="52"/>
        <v>241680</v>
      </c>
      <c r="H177" s="61">
        <f t="shared" si="52"/>
        <v>246240.00000000003</v>
      </c>
      <c r="I177" s="61">
        <f t="shared" si="52"/>
        <v>250800.00000000003</v>
      </c>
      <c r="J177" s="61">
        <f t="shared" si="52"/>
        <v>255360.00000000003</v>
      </c>
    </row>
    <row r="178" spans="1:10" ht="15.75" customHeight="1">
      <c r="A178" s="136" t="s">
        <v>618</v>
      </c>
      <c r="B178" s="136"/>
      <c r="C178" s="136"/>
      <c r="D178" s="61">
        <f t="shared" ref="D178:J178" si="53">D169+D177</f>
        <v>17013220.521154232</v>
      </c>
      <c r="E178" s="61">
        <f t="shared" si="53"/>
        <v>19400832.615779016</v>
      </c>
      <c r="F178" s="61">
        <f t="shared" si="53"/>
        <v>21561231.534751818</v>
      </c>
      <c r="G178" s="61">
        <f t="shared" si="53"/>
        <v>23790112.356573407</v>
      </c>
      <c r="H178" s="61">
        <f t="shared" si="53"/>
        <v>26087475.081243783</v>
      </c>
      <c r="I178" s="61">
        <f t="shared" si="53"/>
        <v>28453319.708762966</v>
      </c>
      <c r="J178" s="61">
        <f t="shared" si="53"/>
        <v>30887646.239130929</v>
      </c>
    </row>
    <row r="179" spans="1:10" ht="15.75" customHeight="1">
      <c r="A179" s="57"/>
      <c r="B179" s="57"/>
      <c r="C179" s="57"/>
      <c r="D179" s="59"/>
      <c r="E179" s="59"/>
      <c r="F179" s="59"/>
      <c r="G179" s="59"/>
      <c r="H179" s="59"/>
      <c r="I179" s="59"/>
      <c r="J179" s="59"/>
    </row>
    <row r="180" spans="1:10" ht="15.75" customHeight="1">
      <c r="A180" s="60" t="s">
        <v>400</v>
      </c>
      <c r="B180" s="60"/>
      <c r="C180" s="60"/>
      <c r="D180" s="61">
        <f t="shared" ref="D180:J180" si="54">D148-D178</f>
        <v>936328.79804576561</v>
      </c>
      <c r="E180" s="61">
        <f t="shared" si="54"/>
        <v>1054536.4133793861</v>
      </c>
      <c r="F180" s="61">
        <f t="shared" si="54"/>
        <v>1194193.3183649816</v>
      </c>
      <c r="G180" s="61">
        <f t="shared" si="54"/>
        <v>1338405.6342217959</v>
      </c>
      <c r="H180" s="61">
        <f t="shared" si="54"/>
        <v>1487173.3609498143</v>
      </c>
      <c r="I180" s="61">
        <f t="shared" si="54"/>
        <v>1640496.4985490404</v>
      </c>
      <c r="J180" s="61">
        <f t="shared" si="54"/>
        <v>1798375.0470194742</v>
      </c>
    </row>
    <row r="181" spans="1:10" ht="15.75" customHeight="1">
      <c r="A181" s="75"/>
      <c r="B181" s="75"/>
      <c r="C181" s="75"/>
      <c r="D181" s="52"/>
      <c r="E181" s="52"/>
      <c r="F181" s="52"/>
      <c r="G181" s="52"/>
      <c r="H181" s="52"/>
      <c r="I181" s="52"/>
      <c r="J181" s="52"/>
    </row>
    <row r="182" spans="1:10" ht="15.75" customHeight="1">
      <c r="A182" s="52"/>
      <c r="B182" s="52"/>
      <c r="C182" s="52"/>
      <c r="D182" s="52"/>
      <c r="E182" s="52"/>
      <c r="F182" s="52"/>
      <c r="G182" s="52"/>
      <c r="H182" s="52"/>
      <c r="I182" s="52"/>
      <c r="J182" s="52"/>
    </row>
    <row r="183" spans="1:10" ht="15.75" customHeight="1">
      <c r="A183" s="52"/>
      <c r="B183" s="52"/>
      <c r="C183" s="52"/>
      <c r="D183" s="52"/>
      <c r="E183" s="52"/>
      <c r="F183" s="52"/>
      <c r="G183" s="52"/>
      <c r="H183" s="52"/>
      <c r="I183" s="52"/>
      <c r="J183" s="52"/>
    </row>
    <row r="184" spans="1:10" ht="15.75" customHeight="1">
      <c r="A184" s="269" t="s">
        <v>619</v>
      </c>
      <c r="B184" s="251"/>
      <c r="C184" s="251"/>
      <c r="D184" s="251"/>
      <c r="E184" s="251"/>
      <c r="F184" s="251"/>
      <c r="G184" s="251"/>
      <c r="H184" s="251"/>
      <c r="I184" s="251"/>
      <c r="J184" s="251"/>
    </row>
    <row r="185" spans="1:10" ht="15.75" customHeight="1"/>
    <row r="186" spans="1:10" ht="15.75" customHeight="1">
      <c r="A186" t="s">
        <v>314</v>
      </c>
    </row>
    <row r="187" spans="1:10" ht="15.75" customHeight="1">
      <c r="A187">
        <v>1</v>
      </c>
      <c r="B187" t="s">
        <v>593</v>
      </c>
    </row>
    <row r="188" spans="1:10" ht="15.75" customHeight="1">
      <c r="A188">
        <v>2</v>
      </c>
      <c r="B188" t="s">
        <v>594</v>
      </c>
    </row>
    <row r="189" spans="1:10" ht="15.75" customHeight="1">
      <c r="A189">
        <v>3</v>
      </c>
      <c r="B189" s="52" t="s">
        <v>595</v>
      </c>
    </row>
  </sheetData>
  <mergeCells count="4">
    <mergeCell ref="A131:J131"/>
    <mergeCell ref="A3:H3"/>
    <mergeCell ref="A184:J184"/>
    <mergeCell ref="A4:H4"/>
  </mergeCells>
  <pageMargins left="0.7" right="0.7" top="0.75" bottom="0.75" header="0" footer="0"/>
  <pageSetup paperSize="9" scale="53" orientation="portrait" r:id="rId1"/>
  <rowBreaks count="1" manualBreakCount="1">
    <brk id="129" max="7" man="1"/>
  </rowBreaks>
  <colBreaks count="2" manualBreakCount="2">
    <brk id="8" max="1048575" man="1"/>
    <brk id="10"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J100"/>
  <sheetViews>
    <sheetView view="pageBreakPreview" zoomScale="60" workbookViewId="0"/>
  </sheetViews>
  <sheetFormatPr defaultColWidth="14.42578125" defaultRowHeight="15" customHeight="1"/>
  <cols>
    <col min="1" max="1" width="30.42578125" customWidth="1"/>
    <col min="2" max="2" width="12.42578125" customWidth="1"/>
    <col min="3" max="3" width="11.85546875" bestFit="1" customWidth="1"/>
    <col min="4" max="4" width="14.42578125" customWidth="1"/>
    <col min="5" max="5" width="15.42578125" customWidth="1"/>
    <col min="6" max="6" width="15.7109375" customWidth="1"/>
    <col min="7" max="7" width="14.7109375" customWidth="1"/>
    <col min="8" max="8" width="14.85546875" customWidth="1"/>
    <col min="9" max="9" width="16.5703125" customWidth="1"/>
    <col min="10" max="10" width="14.42578125" customWidth="1"/>
    <col min="11" max="11" width="8.7109375" customWidth="1"/>
  </cols>
  <sheetData>
    <row r="2" spans="1:10" ht="18.75">
      <c r="A2" s="267" t="s">
        <v>620</v>
      </c>
      <c r="B2" s="251"/>
      <c r="C2" s="251"/>
      <c r="D2" s="251"/>
      <c r="E2" s="251"/>
      <c r="F2" s="251"/>
      <c r="G2" s="251"/>
      <c r="H2" s="251"/>
    </row>
    <row r="3" spans="1:10" ht="18.75">
      <c r="A3" s="267" t="s">
        <v>621</v>
      </c>
      <c r="B3" s="251"/>
      <c r="C3" s="251"/>
      <c r="D3" s="251"/>
      <c r="E3" s="251"/>
      <c r="F3" s="251"/>
      <c r="G3" s="251"/>
      <c r="H3" s="251"/>
    </row>
    <row r="4" spans="1:10">
      <c r="A4" s="52" t="s">
        <v>130</v>
      </c>
      <c r="B4" s="243">
        <v>2000</v>
      </c>
      <c r="C4" s="180" t="s">
        <v>622</v>
      </c>
      <c r="D4" s="180"/>
      <c r="E4" s="180"/>
      <c r="F4" s="180"/>
      <c r="G4" s="52"/>
      <c r="H4" s="52"/>
    </row>
    <row r="5" spans="1:10">
      <c r="A5" s="52"/>
      <c r="B5" s="175"/>
      <c r="C5" s="52"/>
      <c r="D5" s="52"/>
      <c r="E5" s="52"/>
      <c r="F5" s="52"/>
      <c r="G5" s="52"/>
      <c r="H5" s="52"/>
    </row>
    <row r="6" spans="1:10">
      <c r="A6" s="52" t="s">
        <v>623</v>
      </c>
      <c r="B6" s="181">
        <v>12</v>
      </c>
      <c r="C6" s="52"/>
      <c r="D6" s="181"/>
      <c r="E6" s="181"/>
      <c r="F6" s="52"/>
      <c r="G6" s="52"/>
      <c r="H6" s="52"/>
    </row>
    <row r="7" spans="1:10">
      <c r="A7" s="52"/>
      <c r="B7" s="52"/>
      <c r="C7" s="181"/>
      <c r="D7" s="181"/>
      <c r="E7" s="181"/>
      <c r="F7" s="52"/>
      <c r="G7" s="52"/>
      <c r="H7" s="52"/>
    </row>
    <row r="8" spans="1:10">
      <c r="A8" s="55" t="s">
        <v>82</v>
      </c>
      <c r="B8" s="56" t="s">
        <v>153</v>
      </c>
      <c r="C8" s="56" t="s">
        <v>154</v>
      </c>
      <c r="D8" s="56" t="s">
        <v>155</v>
      </c>
      <c r="E8" s="56" t="s">
        <v>156</v>
      </c>
      <c r="F8" s="56" t="s">
        <v>157</v>
      </c>
      <c r="G8" s="56" t="s">
        <v>158</v>
      </c>
      <c r="H8" s="56" t="s">
        <v>159</v>
      </c>
    </row>
    <row r="9" spans="1:10">
      <c r="A9" s="57" t="s">
        <v>624</v>
      </c>
      <c r="B9" s="108">
        <v>0.8</v>
      </c>
      <c r="C9" s="108">
        <f t="shared" ref="C9:F9" si="0">B9+5%</f>
        <v>0.85000000000000009</v>
      </c>
      <c r="D9" s="108">
        <f t="shared" si="0"/>
        <v>0.90000000000000013</v>
      </c>
      <c r="E9" s="108">
        <f t="shared" si="0"/>
        <v>0.95000000000000018</v>
      </c>
      <c r="F9" s="108">
        <f t="shared" si="0"/>
        <v>1.0000000000000002</v>
      </c>
      <c r="G9" s="108">
        <f t="shared" ref="G9:H9" si="1">F9</f>
        <v>1.0000000000000002</v>
      </c>
      <c r="H9" s="108">
        <f t="shared" si="1"/>
        <v>1.0000000000000002</v>
      </c>
    </row>
    <row r="10" spans="1:10" ht="34.5" customHeight="1">
      <c r="A10" s="136" t="s">
        <v>625</v>
      </c>
      <c r="B10" s="144">
        <f t="shared" ref="B10:H10" si="2">$B$4*B9*$B$6</f>
        <v>19200</v>
      </c>
      <c r="C10" s="144">
        <f t="shared" si="2"/>
        <v>20400.000000000004</v>
      </c>
      <c r="D10" s="144">
        <f t="shared" si="2"/>
        <v>21600.000000000004</v>
      </c>
      <c r="E10" s="144">
        <f t="shared" si="2"/>
        <v>22800.000000000007</v>
      </c>
      <c r="F10" s="144">
        <f t="shared" si="2"/>
        <v>24000.000000000007</v>
      </c>
      <c r="G10" s="144">
        <f t="shared" si="2"/>
        <v>24000.000000000007</v>
      </c>
      <c r="H10" s="144">
        <f t="shared" si="2"/>
        <v>24000.000000000007</v>
      </c>
    </row>
    <row r="12" spans="1:10" ht="15" hidden="1" customHeight="1"/>
    <row r="13" spans="1:10" ht="15" hidden="1" customHeight="1"/>
    <row r="14" spans="1:10" ht="15" hidden="1" customHeight="1"/>
    <row r="15" spans="1:10" ht="18.75">
      <c r="A15" s="267" t="s">
        <v>626</v>
      </c>
      <c r="B15" s="251"/>
      <c r="C15" s="251"/>
      <c r="D15" s="251"/>
      <c r="E15" s="251"/>
      <c r="F15" s="251"/>
      <c r="G15" s="251"/>
      <c r="H15" s="251"/>
      <c r="I15" s="251"/>
      <c r="J15" s="251"/>
    </row>
    <row r="16" spans="1:10">
      <c r="A16" s="24"/>
      <c r="B16" s="24"/>
      <c r="C16" s="24"/>
      <c r="D16" s="24"/>
      <c r="E16" s="24"/>
      <c r="F16" s="24"/>
      <c r="G16" s="24"/>
      <c r="H16" s="24"/>
    </row>
    <row r="17" spans="1:10" hidden="1">
      <c r="A17" s="52"/>
      <c r="B17" s="52"/>
      <c r="C17" s="52"/>
      <c r="D17" s="53">
        <v>1</v>
      </c>
      <c r="E17" s="173">
        <f>+D17+2%</f>
        <v>1.02</v>
      </c>
      <c r="F17" s="173">
        <f t="shared" ref="F17:J17" si="3">+E17+2%</f>
        <v>1.04</v>
      </c>
      <c r="G17" s="173">
        <f t="shared" si="3"/>
        <v>1.06</v>
      </c>
      <c r="H17" s="173">
        <f t="shared" si="3"/>
        <v>1.08</v>
      </c>
      <c r="I17" s="173">
        <f t="shared" si="3"/>
        <v>1.1000000000000001</v>
      </c>
      <c r="J17" s="173">
        <f t="shared" si="3"/>
        <v>1.1200000000000001</v>
      </c>
    </row>
    <row r="18" spans="1:10">
      <c r="A18" s="55" t="s">
        <v>150</v>
      </c>
      <c r="B18" s="55" t="s">
        <v>122</v>
      </c>
      <c r="C18" s="55" t="s">
        <v>132</v>
      </c>
      <c r="D18" s="56" t="s">
        <v>153</v>
      </c>
      <c r="E18" s="56" t="s">
        <v>154</v>
      </c>
      <c r="F18" s="56" t="s">
        <v>155</v>
      </c>
      <c r="G18" s="56" t="s">
        <v>156</v>
      </c>
      <c r="H18" s="56" t="s">
        <v>157</v>
      </c>
      <c r="I18" s="56" t="s">
        <v>158</v>
      </c>
      <c r="J18" s="56" t="s">
        <v>159</v>
      </c>
    </row>
    <row r="19" spans="1:10">
      <c r="A19" s="57"/>
      <c r="B19" s="57"/>
      <c r="C19" s="57"/>
      <c r="D19" s="57"/>
      <c r="E19" s="57"/>
      <c r="F19" s="57"/>
      <c r="G19" s="57"/>
      <c r="H19" s="57"/>
      <c r="I19" s="57"/>
      <c r="J19" s="57"/>
    </row>
    <row r="20" spans="1:10">
      <c r="A20" s="60" t="s">
        <v>627</v>
      </c>
      <c r="B20" s="60"/>
      <c r="C20" s="60"/>
      <c r="D20" s="57"/>
      <c r="E20" s="57"/>
      <c r="F20" s="57"/>
      <c r="G20" s="57"/>
      <c r="H20" s="57"/>
      <c r="I20" s="57"/>
      <c r="J20" s="57"/>
    </row>
    <row r="21" spans="1:10" ht="15.75" customHeight="1">
      <c r="A21" s="57" t="s">
        <v>628</v>
      </c>
      <c r="B21" s="57"/>
      <c r="C21" s="59">
        <v>100</v>
      </c>
      <c r="D21" s="59">
        <f t="shared" ref="D21:J21" si="4">B10*$C$21*D17</f>
        <v>1920000</v>
      </c>
      <c r="E21" s="59">
        <f t="shared" si="4"/>
        <v>2080800.0000000005</v>
      </c>
      <c r="F21" s="59">
        <f t="shared" si="4"/>
        <v>2246400.0000000005</v>
      </c>
      <c r="G21" s="59">
        <f t="shared" si="4"/>
        <v>2416800.0000000009</v>
      </c>
      <c r="H21" s="59">
        <f t="shared" si="4"/>
        <v>2592000.0000000014</v>
      </c>
      <c r="I21" s="59">
        <f t="shared" si="4"/>
        <v>2640000.0000000014</v>
      </c>
      <c r="J21" s="59">
        <f t="shared" si="4"/>
        <v>2688000.0000000014</v>
      </c>
    </row>
    <row r="22" spans="1:10" ht="15.75" customHeight="1">
      <c r="A22" s="57"/>
      <c r="B22" s="57"/>
      <c r="C22" s="59"/>
      <c r="D22" s="59"/>
      <c r="E22" s="59"/>
      <c r="F22" s="59"/>
      <c r="G22" s="59"/>
      <c r="H22" s="59"/>
      <c r="I22" s="59"/>
      <c r="J22" s="59"/>
    </row>
    <row r="23" spans="1:10" ht="15.75" customHeight="1">
      <c r="A23" s="60" t="s">
        <v>351</v>
      </c>
      <c r="B23" s="60"/>
      <c r="C23" s="61"/>
      <c r="D23" s="59">
        <f t="shared" ref="D23:J23" si="5">SUM(D21)</f>
        <v>1920000</v>
      </c>
      <c r="E23" s="59">
        <f t="shared" si="5"/>
        <v>2080800.0000000005</v>
      </c>
      <c r="F23" s="59">
        <f t="shared" si="5"/>
        <v>2246400.0000000005</v>
      </c>
      <c r="G23" s="59">
        <f t="shared" si="5"/>
        <v>2416800.0000000009</v>
      </c>
      <c r="H23" s="59">
        <f t="shared" si="5"/>
        <v>2592000.0000000014</v>
      </c>
      <c r="I23" s="59">
        <f t="shared" si="5"/>
        <v>2640000.0000000014</v>
      </c>
      <c r="J23" s="59">
        <f t="shared" si="5"/>
        <v>2688000.0000000014</v>
      </c>
    </row>
    <row r="24" spans="1:10" ht="15.75" customHeight="1">
      <c r="A24" s="57"/>
      <c r="B24" s="57"/>
      <c r="C24" s="59"/>
      <c r="D24" s="59"/>
      <c r="E24" s="59"/>
      <c r="F24" s="59"/>
      <c r="G24" s="59"/>
      <c r="H24" s="59"/>
      <c r="I24" s="59"/>
      <c r="J24" s="59"/>
    </row>
    <row r="25" spans="1:10" ht="15.75" customHeight="1">
      <c r="A25" s="60" t="s">
        <v>581</v>
      </c>
      <c r="B25" s="60"/>
      <c r="C25" s="59"/>
      <c r="D25" s="59"/>
      <c r="E25" s="59"/>
      <c r="F25" s="59"/>
      <c r="G25" s="59"/>
      <c r="H25" s="59"/>
      <c r="I25" s="59"/>
      <c r="J25" s="59"/>
    </row>
    <row r="26" spans="1:10" ht="15.75" customHeight="1">
      <c r="A26" s="60" t="s">
        <v>352</v>
      </c>
      <c r="B26" s="60"/>
      <c r="C26" s="59"/>
      <c r="D26" s="59"/>
      <c r="E26" s="59"/>
      <c r="F26" s="59"/>
      <c r="G26" s="59"/>
      <c r="H26" s="59"/>
      <c r="I26" s="59"/>
      <c r="J26" s="59"/>
    </row>
    <row r="27" spans="1:10" ht="15.75" customHeight="1">
      <c r="A27" s="57" t="s">
        <v>629</v>
      </c>
      <c r="B27" s="57" t="s">
        <v>622</v>
      </c>
      <c r="C27" s="59">
        <v>15</v>
      </c>
      <c r="D27" s="59">
        <f t="shared" ref="D27:J27" si="6">$B$4*$C$27*D17*4</f>
        <v>120000</v>
      </c>
      <c r="E27" s="59">
        <f t="shared" si="6"/>
        <v>122400</v>
      </c>
      <c r="F27" s="59">
        <f t="shared" si="6"/>
        <v>124800</v>
      </c>
      <c r="G27" s="59">
        <f t="shared" si="6"/>
        <v>127200</v>
      </c>
      <c r="H27" s="59">
        <f t="shared" si="6"/>
        <v>129600.00000000001</v>
      </c>
      <c r="I27" s="59">
        <f t="shared" si="6"/>
        <v>132000</v>
      </c>
      <c r="J27" s="59">
        <f t="shared" si="6"/>
        <v>134400</v>
      </c>
    </row>
    <row r="28" spans="1:10" ht="15.75" customHeight="1">
      <c r="A28" s="57" t="s">
        <v>630</v>
      </c>
      <c r="B28" s="57" t="s">
        <v>622</v>
      </c>
      <c r="C28" s="59">
        <v>14</v>
      </c>
      <c r="D28" s="59">
        <f t="shared" ref="D28:J28" si="7">$B$4*$C$28*D17*12</f>
        <v>336000</v>
      </c>
      <c r="E28" s="59">
        <f t="shared" si="7"/>
        <v>342720</v>
      </c>
      <c r="F28" s="59">
        <f t="shared" si="7"/>
        <v>349440</v>
      </c>
      <c r="G28" s="59">
        <f t="shared" si="7"/>
        <v>356160</v>
      </c>
      <c r="H28" s="59">
        <f t="shared" si="7"/>
        <v>362880.00000000006</v>
      </c>
      <c r="I28" s="59">
        <f t="shared" si="7"/>
        <v>369600.00000000006</v>
      </c>
      <c r="J28" s="59">
        <f t="shared" si="7"/>
        <v>376320.00000000006</v>
      </c>
    </row>
    <row r="29" spans="1:10" ht="15.75" customHeight="1">
      <c r="A29" s="57" t="s">
        <v>631</v>
      </c>
      <c r="B29" s="57"/>
      <c r="C29" s="59">
        <f>B4*10</f>
        <v>20000</v>
      </c>
      <c r="D29" s="59">
        <f t="shared" ref="D29:J29" si="8">$C$29*12*D17</f>
        <v>240000</v>
      </c>
      <c r="E29" s="59">
        <f t="shared" si="8"/>
        <v>244800</v>
      </c>
      <c r="F29" s="59">
        <f t="shared" si="8"/>
        <v>249600</v>
      </c>
      <c r="G29" s="59">
        <f t="shared" si="8"/>
        <v>254400</v>
      </c>
      <c r="H29" s="59">
        <f t="shared" si="8"/>
        <v>259200.00000000003</v>
      </c>
      <c r="I29" s="59">
        <f t="shared" si="8"/>
        <v>264000</v>
      </c>
      <c r="J29" s="59">
        <f t="shared" si="8"/>
        <v>268800</v>
      </c>
    </row>
    <row r="30" spans="1:10" ht="15.75" customHeight="1">
      <c r="A30" s="57"/>
      <c r="B30" s="57"/>
      <c r="C30" s="59"/>
      <c r="D30" s="59"/>
      <c r="E30" s="59"/>
      <c r="F30" s="59"/>
      <c r="G30" s="59"/>
      <c r="H30" s="59"/>
      <c r="I30" s="59"/>
      <c r="J30" s="59"/>
    </row>
    <row r="31" spans="1:10" ht="15.75" hidden="1" customHeight="1">
      <c r="A31" s="57"/>
      <c r="B31" s="57"/>
      <c r="C31" s="59"/>
      <c r="D31" s="59"/>
      <c r="E31" s="59"/>
      <c r="F31" s="59"/>
      <c r="G31" s="59"/>
      <c r="H31" s="59"/>
      <c r="I31" s="59"/>
      <c r="J31" s="59"/>
    </row>
    <row r="32" spans="1:10" ht="15.75" hidden="1" customHeight="1">
      <c r="A32" s="57"/>
      <c r="B32" s="57"/>
      <c r="C32" s="59"/>
      <c r="D32" s="59"/>
      <c r="E32" s="59"/>
      <c r="F32" s="59"/>
      <c r="G32" s="59"/>
      <c r="H32" s="59"/>
      <c r="I32" s="59"/>
      <c r="J32" s="59"/>
    </row>
    <row r="33" spans="1:10" ht="15.75" hidden="1" customHeight="1">
      <c r="A33" s="57"/>
      <c r="B33" s="57"/>
      <c r="C33" s="59"/>
      <c r="D33" s="59"/>
      <c r="E33" s="59"/>
      <c r="F33" s="59"/>
      <c r="G33" s="59"/>
      <c r="H33" s="59"/>
      <c r="I33" s="59"/>
      <c r="J33" s="59"/>
    </row>
    <row r="34" spans="1:10" ht="15.75" customHeight="1">
      <c r="A34" s="60" t="s">
        <v>353</v>
      </c>
      <c r="B34" s="60"/>
      <c r="C34" s="61"/>
      <c r="D34" s="61">
        <f t="shared" ref="D34:J34" si="9">SUM(D27:D33)</f>
        <v>696000</v>
      </c>
      <c r="E34" s="61">
        <f t="shared" si="9"/>
        <v>709920</v>
      </c>
      <c r="F34" s="61">
        <f t="shared" si="9"/>
        <v>723840</v>
      </c>
      <c r="G34" s="61">
        <f t="shared" si="9"/>
        <v>737760</v>
      </c>
      <c r="H34" s="61">
        <f t="shared" si="9"/>
        <v>751680.00000000012</v>
      </c>
      <c r="I34" s="61">
        <f t="shared" si="9"/>
        <v>765600</v>
      </c>
      <c r="J34" s="61">
        <f t="shared" si="9"/>
        <v>779520</v>
      </c>
    </row>
    <row r="35" spans="1:10" ht="15.75" customHeight="1">
      <c r="A35" s="60"/>
      <c r="B35" s="60"/>
      <c r="C35" s="61"/>
      <c r="D35" s="61"/>
      <c r="E35" s="61"/>
      <c r="F35" s="61"/>
      <c r="G35" s="61"/>
      <c r="H35" s="61"/>
      <c r="I35" s="61"/>
      <c r="J35" s="61"/>
    </row>
    <row r="36" spans="1:10" ht="15.75" customHeight="1">
      <c r="A36" s="60" t="s">
        <v>354</v>
      </c>
      <c r="B36" s="57"/>
      <c r="C36" s="59"/>
      <c r="D36" s="59"/>
      <c r="E36" s="59"/>
      <c r="F36" s="59"/>
      <c r="G36" s="59"/>
      <c r="H36" s="59"/>
      <c r="I36" s="59"/>
      <c r="J36" s="59"/>
    </row>
    <row r="37" spans="1:10" ht="15.75" customHeight="1">
      <c r="A37" s="57" t="s">
        <v>632</v>
      </c>
      <c r="B37" s="57">
        <v>1</v>
      </c>
      <c r="C37" s="59">
        <v>20000</v>
      </c>
      <c r="D37" s="59">
        <f t="shared" ref="D37:J37" si="10">$B$37*$C$37*D17*12</f>
        <v>240000</v>
      </c>
      <c r="E37" s="59">
        <f t="shared" si="10"/>
        <v>244800</v>
      </c>
      <c r="F37" s="59">
        <f t="shared" si="10"/>
        <v>249600</v>
      </c>
      <c r="G37" s="59">
        <f t="shared" si="10"/>
        <v>254400</v>
      </c>
      <c r="H37" s="59">
        <f t="shared" si="10"/>
        <v>259200</v>
      </c>
      <c r="I37" s="59">
        <f t="shared" si="10"/>
        <v>264000</v>
      </c>
      <c r="J37" s="59">
        <f t="shared" si="10"/>
        <v>268800.00000000006</v>
      </c>
    </row>
    <row r="38" spans="1:10" ht="15.75" customHeight="1">
      <c r="A38" s="57"/>
      <c r="B38" s="57"/>
      <c r="C38" s="59"/>
      <c r="D38" s="59"/>
      <c r="E38" s="59"/>
      <c r="F38" s="59"/>
      <c r="G38" s="59"/>
      <c r="H38" s="59"/>
      <c r="I38" s="59"/>
      <c r="J38" s="59"/>
    </row>
    <row r="39" spans="1:10" ht="15.75" hidden="1" customHeight="1">
      <c r="A39" s="57"/>
      <c r="B39" s="57"/>
      <c r="C39" s="59"/>
      <c r="D39" s="59"/>
      <c r="E39" s="59"/>
      <c r="F39" s="59"/>
      <c r="G39" s="59"/>
      <c r="H39" s="59"/>
      <c r="I39" s="59"/>
      <c r="J39" s="59"/>
    </row>
    <row r="40" spans="1:10" ht="15.75" hidden="1" customHeight="1">
      <c r="A40" s="57"/>
      <c r="B40" s="57"/>
      <c r="C40" s="59"/>
      <c r="D40" s="59"/>
      <c r="E40" s="59"/>
      <c r="F40" s="59"/>
      <c r="G40" s="59"/>
      <c r="H40" s="59"/>
      <c r="I40" s="59"/>
      <c r="J40" s="59"/>
    </row>
    <row r="41" spans="1:10" ht="15.75" hidden="1" customHeight="1">
      <c r="A41" s="57"/>
      <c r="B41" s="57"/>
      <c r="C41" s="59"/>
      <c r="D41" s="59"/>
      <c r="E41" s="59"/>
      <c r="F41" s="59"/>
      <c r="G41" s="59"/>
      <c r="H41" s="59"/>
      <c r="I41" s="59"/>
      <c r="J41" s="59"/>
    </row>
    <row r="42" spans="1:10" ht="15.75" hidden="1" customHeight="1">
      <c r="A42" s="57"/>
      <c r="B42" s="57"/>
      <c r="C42" s="59"/>
      <c r="D42" s="59"/>
      <c r="E42" s="59"/>
      <c r="F42" s="59"/>
      <c r="G42" s="59"/>
      <c r="H42" s="59"/>
      <c r="I42" s="59"/>
      <c r="J42" s="59"/>
    </row>
    <row r="43" spans="1:10" ht="15.75" customHeight="1">
      <c r="A43" s="60" t="s">
        <v>356</v>
      </c>
      <c r="B43" s="60"/>
      <c r="C43" s="61"/>
      <c r="D43" s="61">
        <f t="shared" ref="D43:J43" si="11">SUM(D37:D42)</f>
        <v>240000</v>
      </c>
      <c r="E43" s="61">
        <f t="shared" si="11"/>
        <v>244800</v>
      </c>
      <c r="F43" s="61">
        <f t="shared" si="11"/>
        <v>249600</v>
      </c>
      <c r="G43" s="61">
        <f t="shared" si="11"/>
        <v>254400</v>
      </c>
      <c r="H43" s="61">
        <f t="shared" si="11"/>
        <v>259200</v>
      </c>
      <c r="I43" s="61">
        <f t="shared" si="11"/>
        <v>264000</v>
      </c>
      <c r="J43" s="61">
        <f t="shared" si="11"/>
        <v>268800.00000000006</v>
      </c>
    </row>
    <row r="44" spans="1:10" ht="15.75" customHeight="1">
      <c r="A44" s="60"/>
      <c r="B44" s="60"/>
      <c r="C44" s="61"/>
      <c r="D44" s="61"/>
      <c r="E44" s="61"/>
      <c r="F44" s="61"/>
      <c r="G44" s="61"/>
      <c r="H44" s="61"/>
      <c r="I44" s="61"/>
      <c r="J44" s="61"/>
    </row>
    <row r="45" spans="1:10" ht="15.75" customHeight="1">
      <c r="A45" s="60" t="s">
        <v>589</v>
      </c>
      <c r="B45" s="60"/>
      <c r="C45" s="61"/>
      <c r="D45" s="61">
        <f t="shared" ref="D45:J45" si="12">D34+D43</f>
        <v>936000</v>
      </c>
      <c r="E45" s="61">
        <f t="shared" si="12"/>
        <v>954720</v>
      </c>
      <c r="F45" s="61">
        <f t="shared" si="12"/>
        <v>973440</v>
      </c>
      <c r="G45" s="61">
        <f t="shared" si="12"/>
        <v>992160</v>
      </c>
      <c r="H45" s="61">
        <f t="shared" si="12"/>
        <v>1010880.0000000001</v>
      </c>
      <c r="I45" s="61">
        <f t="shared" si="12"/>
        <v>1029600</v>
      </c>
      <c r="J45" s="61">
        <f t="shared" si="12"/>
        <v>1048320</v>
      </c>
    </row>
    <row r="46" spans="1:10" ht="15.75" customHeight="1">
      <c r="A46" s="57"/>
      <c r="B46" s="57"/>
      <c r="C46" s="59"/>
      <c r="D46" s="59"/>
      <c r="E46" s="59"/>
      <c r="F46" s="59"/>
      <c r="G46" s="59"/>
      <c r="H46" s="59"/>
      <c r="I46" s="59"/>
      <c r="J46" s="59"/>
    </row>
    <row r="47" spans="1:10" ht="15.75" customHeight="1">
      <c r="A47" s="60" t="s">
        <v>633</v>
      </c>
      <c r="B47" s="60"/>
      <c r="C47" s="61"/>
      <c r="D47" s="61">
        <f t="shared" ref="D47:J47" si="13">D23-D45</f>
        <v>984000</v>
      </c>
      <c r="E47" s="61">
        <f t="shared" si="13"/>
        <v>1126080.0000000005</v>
      </c>
      <c r="F47" s="61">
        <f t="shared" si="13"/>
        <v>1272960.0000000005</v>
      </c>
      <c r="G47" s="61">
        <f t="shared" si="13"/>
        <v>1424640.0000000009</v>
      </c>
      <c r="H47" s="61">
        <f t="shared" si="13"/>
        <v>1581120.0000000014</v>
      </c>
      <c r="I47" s="61">
        <f t="shared" si="13"/>
        <v>1610400.0000000014</v>
      </c>
      <c r="J47" s="61">
        <f t="shared" si="13"/>
        <v>1639680.0000000014</v>
      </c>
    </row>
    <row r="48" spans="1:10" ht="15.75" customHeight="1">
      <c r="A48" s="52"/>
      <c r="B48" s="52"/>
      <c r="C48" s="52"/>
      <c r="D48" s="52"/>
      <c r="E48" s="52"/>
      <c r="F48" s="52"/>
      <c r="G48" s="52"/>
      <c r="H48" s="52"/>
      <c r="I48" s="52"/>
      <c r="J48" s="52"/>
    </row>
    <row r="49" spans="1:10" ht="15.75" hidden="1" customHeight="1">
      <c r="A49" s="52"/>
    </row>
    <row r="50" spans="1:10" ht="15.75" hidden="1" customHeight="1"/>
    <row r="51" spans="1:10" ht="15.75" customHeight="1">
      <c r="A51" s="269" t="s">
        <v>619</v>
      </c>
      <c r="B51" s="251"/>
      <c r="C51" s="251"/>
      <c r="D51" s="251"/>
      <c r="E51" s="251"/>
      <c r="F51" s="251"/>
      <c r="G51" s="251"/>
      <c r="H51" s="251"/>
      <c r="I51" s="251"/>
      <c r="J51" s="251"/>
    </row>
    <row r="52" spans="1:10" ht="15.75" customHeight="1"/>
    <row r="53" spans="1:10" ht="15.75" customHeight="1">
      <c r="A53" t="s">
        <v>314</v>
      </c>
    </row>
    <row r="54" spans="1:10" ht="15.75" customHeight="1">
      <c r="A54">
        <v>1</v>
      </c>
      <c r="B54" t="s">
        <v>593</v>
      </c>
    </row>
    <row r="55" spans="1:10" ht="15.75" customHeight="1">
      <c r="A55">
        <v>2</v>
      </c>
      <c r="B55" t="s">
        <v>594</v>
      </c>
    </row>
    <row r="56" spans="1:10" ht="15.75" customHeight="1">
      <c r="A56">
        <v>3</v>
      </c>
      <c r="B56" s="52" t="s">
        <v>595</v>
      </c>
    </row>
    <row r="57" spans="1:10" ht="15.75" customHeight="1"/>
    <row r="58" spans="1:10" ht="15.75" customHeight="1"/>
    <row r="59" spans="1:10" ht="15.75" customHeight="1"/>
    <row r="60" spans="1:10" ht="15.75" customHeight="1"/>
    <row r="61" spans="1:10" ht="15.75" customHeight="1"/>
    <row r="62" spans="1:10" ht="15.75" customHeight="1"/>
    <row r="63" spans="1:10" ht="15.75" customHeight="1"/>
    <row r="64" spans="1:1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15:J15"/>
    <mergeCell ref="A2:H2"/>
    <mergeCell ref="A51:J51"/>
    <mergeCell ref="A3:H3"/>
  </mergeCells>
  <pageMargins left="0.7" right="0.7" top="0.75" bottom="0.75" header="0" footer="0"/>
  <pageSetup paperSize="9" scale="62" orientation="portrait" r:id="rId1"/>
  <colBreaks count="1" manualBreakCount="1">
    <brk id="10"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3:P100"/>
  <sheetViews>
    <sheetView workbookViewId="0"/>
  </sheetViews>
  <sheetFormatPr defaultColWidth="14.42578125" defaultRowHeight="15" customHeight="1"/>
  <cols>
    <col min="1" max="2" width="29.42578125" customWidth="1"/>
    <col min="3" max="3" width="12.140625" customWidth="1"/>
    <col min="4" max="4" width="10.42578125"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5" max="16" width="8.7109375" customWidth="1"/>
  </cols>
  <sheetData>
    <row r="3" spans="1:13" ht="18.75">
      <c r="A3" s="267" t="s">
        <v>634</v>
      </c>
      <c r="B3" s="251"/>
      <c r="C3" s="251"/>
      <c r="D3" s="251"/>
      <c r="E3" s="251"/>
      <c r="F3" s="251"/>
      <c r="G3" s="251"/>
      <c r="H3" s="251"/>
      <c r="I3" s="251"/>
      <c r="J3" s="251"/>
      <c r="K3" s="251"/>
      <c r="L3" s="251"/>
    </row>
    <row r="4" spans="1:13" ht="18.75">
      <c r="A4" s="267" t="s">
        <v>635</v>
      </c>
      <c r="B4" s="251"/>
      <c r="C4" s="251"/>
      <c r="D4" s="251"/>
      <c r="E4" s="251"/>
      <c r="F4" s="251"/>
      <c r="G4" s="251"/>
      <c r="H4" s="251"/>
      <c r="I4" s="251"/>
      <c r="J4" s="251"/>
      <c r="K4" s="251"/>
      <c r="L4" s="251"/>
    </row>
    <row r="5" spans="1:13">
      <c r="A5" s="52"/>
      <c r="B5" s="52"/>
      <c r="C5" s="52"/>
    </row>
    <row r="6" spans="1:13">
      <c r="A6" s="52"/>
      <c r="B6" s="52"/>
      <c r="C6" s="52"/>
    </row>
    <row r="7" spans="1:13" ht="45">
      <c r="A7" s="146" t="s">
        <v>81</v>
      </c>
      <c r="B7" s="155" t="s">
        <v>636</v>
      </c>
      <c r="C7" s="155" t="s">
        <v>637</v>
      </c>
      <c r="D7" s="155" t="s">
        <v>638</v>
      </c>
      <c r="E7" s="155" t="s">
        <v>639</v>
      </c>
      <c r="F7" s="155" t="s">
        <v>640</v>
      </c>
      <c r="G7" s="155" t="s">
        <v>641</v>
      </c>
      <c r="H7" s="155" t="s">
        <v>642</v>
      </c>
      <c r="I7" s="155" t="s">
        <v>643</v>
      </c>
      <c r="J7" s="182" t="s">
        <v>644</v>
      </c>
      <c r="K7" s="155" t="s">
        <v>645</v>
      </c>
      <c r="L7" s="182" t="s">
        <v>646</v>
      </c>
      <c r="M7" s="155" t="s">
        <v>647</v>
      </c>
    </row>
    <row r="8" spans="1:13">
      <c r="A8" s="183">
        <v>1</v>
      </c>
      <c r="B8" s="149" t="s">
        <v>648</v>
      </c>
      <c r="C8" s="149"/>
      <c r="D8" s="149"/>
      <c r="E8" s="149">
        <v>6</v>
      </c>
      <c r="F8" s="115">
        <f t="shared" ref="F8:F17" si="0">D8*E8*C8</f>
        <v>0</v>
      </c>
      <c r="G8" s="149">
        <v>4</v>
      </c>
      <c r="H8" s="115">
        <f t="shared" ref="H8:H12" si="1">F8/G8</f>
        <v>0</v>
      </c>
      <c r="I8" s="149">
        <v>12</v>
      </c>
      <c r="J8" s="115">
        <f t="shared" ref="J8:J17" si="2">H8*I8</f>
        <v>0</v>
      </c>
      <c r="K8" s="149">
        <v>3000</v>
      </c>
      <c r="L8" s="149">
        <v>1</v>
      </c>
      <c r="M8" s="115">
        <f t="shared" ref="M8:M17" si="3">D8*L8</f>
        <v>0</v>
      </c>
    </row>
    <row r="9" spans="1:13">
      <c r="A9" s="183">
        <v>2</v>
      </c>
      <c r="B9" s="149" t="s">
        <v>649</v>
      </c>
      <c r="C9" s="149"/>
      <c r="D9" s="149"/>
      <c r="E9" s="149">
        <v>6</v>
      </c>
      <c r="F9" s="115">
        <f t="shared" si="0"/>
        <v>0</v>
      </c>
      <c r="G9" s="149">
        <v>2</v>
      </c>
      <c r="H9" s="115">
        <f t="shared" si="1"/>
        <v>0</v>
      </c>
      <c r="I9" s="149">
        <v>8</v>
      </c>
      <c r="J9" s="115">
        <f t="shared" si="2"/>
        <v>0</v>
      </c>
      <c r="K9" s="149">
        <v>1800</v>
      </c>
      <c r="L9" s="149">
        <v>1</v>
      </c>
      <c r="M9" s="115">
        <f t="shared" si="3"/>
        <v>0</v>
      </c>
    </row>
    <row r="10" spans="1:13">
      <c r="A10" s="183">
        <v>3</v>
      </c>
      <c r="B10" s="149" t="s">
        <v>650</v>
      </c>
      <c r="C10" s="149"/>
      <c r="D10" s="149"/>
      <c r="E10" s="149">
        <v>6</v>
      </c>
      <c r="F10" s="115">
        <f t="shared" si="0"/>
        <v>0</v>
      </c>
      <c r="G10" s="149">
        <v>2</v>
      </c>
      <c r="H10" s="115">
        <f t="shared" si="1"/>
        <v>0</v>
      </c>
      <c r="I10" s="149">
        <v>8</v>
      </c>
      <c r="J10" s="115">
        <f t="shared" si="2"/>
        <v>0</v>
      </c>
      <c r="K10" s="149">
        <v>1800</v>
      </c>
      <c r="L10" s="149">
        <v>1</v>
      </c>
      <c r="M10" s="115">
        <f t="shared" si="3"/>
        <v>0</v>
      </c>
    </row>
    <row r="11" spans="1:13">
      <c r="A11" s="183">
        <v>4</v>
      </c>
      <c r="B11" s="149" t="s">
        <v>651</v>
      </c>
      <c r="C11" s="149"/>
      <c r="D11" s="149"/>
      <c r="E11" s="149">
        <v>6</v>
      </c>
      <c r="F11" s="115">
        <f t="shared" si="0"/>
        <v>0</v>
      </c>
      <c r="G11" s="149">
        <v>2</v>
      </c>
      <c r="H11" s="115">
        <f t="shared" si="1"/>
        <v>0</v>
      </c>
      <c r="I11" s="149">
        <v>4</v>
      </c>
      <c r="J11" s="115">
        <f t="shared" si="2"/>
        <v>0</v>
      </c>
      <c r="K11" s="149">
        <v>1200</v>
      </c>
      <c r="L11" s="149">
        <v>1</v>
      </c>
      <c r="M11" s="115">
        <f t="shared" si="3"/>
        <v>0</v>
      </c>
    </row>
    <row r="12" spans="1:13">
      <c r="A12" s="183">
        <v>5</v>
      </c>
      <c r="B12" s="149" t="s">
        <v>652</v>
      </c>
      <c r="C12" s="149"/>
      <c r="D12" s="149"/>
      <c r="E12" s="149">
        <v>6</v>
      </c>
      <c r="F12" s="115">
        <f t="shared" si="0"/>
        <v>0</v>
      </c>
      <c r="G12" s="149">
        <v>2</v>
      </c>
      <c r="H12" s="115">
        <f t="shared" si="1"/>
        <v>0</v>
      </c>
      <c r="I12" s="149">
        <v>10</v>
      </c>
      <c r="J12" s="115">
        <f t="shared" si="2"/>
        <v>0</v>
      </c>
      <c r="K12" s="149">
        <v>3000</v>
      </c>
      <c r="L12" s="149">
        <v>1</v>
      </c>
      <c r="M12" s="115">
        <f t="shared" si="3"/>
        <v>0</v>
      </c>
    </row>
    <row r="13" spans="1:13">
      <c r="A13" s="183">
        <v>6</v>
      </c>
      <c r="B13" s="115"/>
      <c r="C13" s="115"/>
      <c r="D13" s="115"/>
      <c r="E13" s="115"/>
      <c r="F13" s="115">
        <f t="shared" si="0"/>
        <v>0</v>
      </c>
      <c r="G13" s="115">
        <v>0</v>
      </c>
      <c r="H13" s="149"/>
      <c r="I13" s="115"/>
      <c r="J13" s="115">
        <f t="shared" si="2"/>
        <v>0</v>
      </c>
      <c r="K13" s="115"/>
      <c r="L13" s="115"/>
      <c r="M13" s="115">
        <f t="shared" si="3"/>
        <v>0</v>
      </c>
    </row>
    <row r="14" spans="1:13">
      <c r="A14" s="183">
        <v>7</v>
      </c>
      <c r="B14" s="115"/>
      <c r="C14" s="115"/>
      <c r="D14" s="115"/>
      <c r="E14" s="115"/>
      <c r="F14" s="115">
        <f t="shared" si="0"/>
        <v>0</v>
      </c>
      <c r="G14" s="115">
        <v>0</v>
      </c>
      <c r="H14" s="149"/>
      <c r="I14" s="115"/>
      <c r="J14" s="115">
        <f t="shared" si="2"/>
        <v>0</v>
      </c>
      <c r="K14" s="115"/>
      <c r="L14" s="115"/>
      <c r="M14" s="115">
        <f t="shared" si="3"/>
        <v>0</v>
      </c>
    </row>
    <row r="15" spans="1:13">
      <c r="A15" s="183">
        <v>8</v>
      </c>
      <c r="B15" s="115"/>
      <c r="C15" s="115"/>
      <c r="D15" s="115"/>
      <c r="E15" s="115"/>
      <c r="F15" s="115">
        <f t="shared" si="0"/>
        <v>0</v>
      </c>
      <c r="G15" s="115">
        <v>0</v>
      </c>
      <c r="H15" s="149"/>
      <c r="I15" s="115"/>
      <c r="J15" s="115">
        <f t="shared" si="2"/>
        <v>0</v>
      </c>
      <c r="K15" s="115"/>
      <c r="L15" s="115"/>
      <c r="M15" s="115">
        <f t="shared" si="3"/>
        <v>0</v>
      </c>
    </row>
    <row r="16" spans="1:13">
      <c r="A16" s="183">
        <v>9</v>
      </c>
      <c r="B16" s="115"/>
      <c r="C16" s="115"/>
      <c r="D16" s="115"/>
      <c r="E16" s="115"/>
      <c r="F16" s="115">
        <f t="shared" si="0"/>
        <v>0</v>
      </c>
      <c r="G16" s="115">
        <v>0</v>
      </c>
      <c r="H16" s="149"/>
      <c r="I16" s="115"/>
      <c r="J16" s="115">
        <f t="shared" si="2"/>
        <v>0</v>
      </c>
      <c r="K16" s="115"/>
      <c r="L16" s="115"/>
      <c r="M16" s="115">
        <f t="shared" si="3"/>
        <v>0</v>
      </c>
    </row>
    <row r="17" spans="1:16">
      <c r="A17" s="183">
        <v>10</v>
      </c>
      <c r="B17" s="115"/>
      <c r="C17" s="115"/>
      <c r="D17" s="115"/>
      <c r="E17" s="115"/>
      <c r="F17" s="115">
        <f t="shared" si="0"/>
        <v>0</v>
      </c>
      <c r="G17" s="115">
        <v>0</v>
      </c>
      <c r="H17" s="149"/>
      <c r="I17" s="115"/>
      <c r="J17" s="115">
        <f t="shared" si="2"/>
        <v>0</v>
      </c>
      <c r="K17" s="115"/>
      <c r="L17" s="115"/>
      <c r="M17" s="115">
        <f t="shared" si="3"/>
        <v>0</v>
      </c>
    </row>
    <row r="18" spans="1:16">
      <c r="A18" s="39"/>
      <c r="B18" s="39"/>
    </row>
    <row r="19" spans="1:16">
      <c r="A19" s="39"/>
      <c r="B19" s="39"/>
    </row>
    <row r="21" spans="1:16" ht="15.75" customHeight="1">
      <c r="A21" s="267" t="s">
        <v>653</v>
      </c>
      <c r="B21" s="251"/>
      <c r="C21" s="251"/>
      <c r="D21" s="251"/>
      <c r="E21" s="251"/>
      <c r="F21" s="251"/>
      <c r="G21" s="251"/>
      <c r="H21" s="251"/>
      <c r="I21" s="251"/>
      <c r="J21" s="251"/>
      <c r="K21" s="251"/>
    </row>
    <row r="22" spans="1:16" ht="15.75" customHeight="1"/>
    <row r="23" spans="1:16" ht="15.75" customHeight="1">
      <c r="A23" s="52"/>
      <c r="B23" s="52"/>
      <c r="C23" s="52"/>
      <c r="D23" s="52"/>
      <c r="E23" s="53">
        <v>1</v>
      </c>
      <c r="F23" s="54">
        <f t="shared" ref="F23:K23" si="4">(E23*5%)+E23</f>
        <v>1.05</v>
      </c>
      <c r="G23" s="54">
        <f t="shared" si="4"/>
        <v>1.1025</v>
      </c>
      <c r="H23" s="54">
        <f t="shared" si="4"/>
        <v>1.1576250000000001</v>
      </c>
      <c r="I23" s="54">
        <f t="shared" si="4"/>
        <v>1.2155062500000002</v>
      </c>
      <c r="J23" s="54">
        <f t="shared" si="4"/>
        <v>1.2762815625000004</v>
      </c>
      <c r="K23" s="54">
        <f t="shared" si="4"/>
        <v>1.3400956406250004</v>
      </c>
    </row>
    <row r="24" spans="1:16" ht="15.75" customHeight="1">
      <c r="A24" s="55" t="s">
        <v>150</v>
      </c>
      <c r="B24" s="55" t="s">
        <v>122</v>
      </c>
      <c r="C24" s="55" t="s">
        <v>123</v>
      </c>
      <c r="D24" s="55" t="s">
        <v>132</v>
      </c>
      <c r="E24" s="56" t="s">
        <v>153</v>
      </c>
      <c r="F24" s="56" t="s">
        <v>154</v>
      </c>
      <c r="G24" s="56" t="s">
        <v>155</v>
      </c>
      <c r="H24" s="56" t="s">
        <v>156</v>
      </c>
      <c r="I24" s="56" t="s">
        <v>157</v>
      </c>
      <c r="J24" s="56" t="s">
        <v>158</v>
      </c>
      <c r="K24" s="56" t="s">
        <v>159</v>
      </c>
    </row>
    <row r="25" spans="1:16" ht="15.75" customHeight="1">
      <c r="A25" s="60"/>
      <c r="B25" s="60"/>
      <c r="C25" s="60"/>
      <c r="D25" s="60"/>
      <c r="E25" s="57"/>
      <c r="F25" s="57"/>
      <c r="G25" s="57"/>
      <c r="H25" s="57"/>
      <c r="I25" s="57"/>
      <c r="J25" s="57"/>
      <c r="K25" s="57"/>
    </row>
    <row r="26" spans="1:16" ht="15.75" customHeight="1">
      <c r="A26" s="60" t="s">
        <v>347</v>
      </c>
      <c r="B26" s="60"/>
      <c r="C26" s="60"/>
      <c r="D26" s="60"/>
      <c r="E26" s="57"/>
      <c r="F26" s="57"/>
      <c r="G26" s="57"/>
      <c r="H26" s="57"/>
      <c r="I26" s="57"/>
      <c r="J26" s="57"/>
      <c r="K26" s="57"/>
      <c r="P26" s="52"/>
    </row>
    <row r="27" spans="1:16" ht="15.75" customHeight="1">
      <c r="A27" s="136" t="s">
        <v>654</v>
      </c>
      <c r="B27" s="138"/>
      <c r="C27" s="138"/>
      <c r="D27" s="138"/>
      <c r="E27" s="59"/>
      <c r="F27" s="59"/>
      <c r="G27" s="59"/>
      <c r="H27" s="59"/>
      <c r="I27" s="59"/>
      <c r="J27" s="59"/>
      <c r="K27" s="59"/>
      <c r="P27" s="52"/>
    </row>
    <row r="28" spans="1:16" ht="15.75" customHeight="1">
      <c r="A28" s="138" t="str">
        <f t="shared" ref="A28:A32" si="5">B8</f>
        <v>Double Plough</v>
      </c>
      <c r="B28" s="138"/>
      <c r="C28" s="138">
        <f t="shared" ref="C28:C38" si="6">H8</f>
        <v>0</v>
      </c>
      <c r="D28" s="138">
        <f t="shared" ref="D28:D38" si="7">K8</f>
        <v>3000</v>
      </c>
      <c r="E28" s="59">
        <f t="shared" ref="E28:K28" si="8">$C$28*$D$28*E23</f>
        <v>0</v>
      </c>
      <c r="F28" s="59">
        <f t="shared" si="8"/>
        <v>0</v>
      </c>
      <c r="G28" s="59">
        <f t="shared" si="8"/>
        <v>0</v>
      </c>
      <c r="H28" s="59">
        <f t="shared" si="8"/>
        <v>0</v>
      </c>
      <c r="I28" s="59">
        <f t="shared" si="8"/>
        <v>0</v>
      </c>
      <c r="J28" s="59">
        <f t="shared" si="8"/>
        <v>0</v>
      </c>
      <c r="K28" s="59">
        <f t="shared" si="8"/>
        <v>0</v>
      </c>
      <c r="P28" s="52"/>
    </row>
    <row r="29" spans="1:16" ht="15.75" customHeight="1">
      <c r="A29" s="138" t="str">
        <f t="shared" si="5"/>
        <v>Cultivator</v>
      </c>
      <c r="B29" s="138"/>
      <c r="C29" s="138">
        <f t="shared" si="6"/>
        <v>0</v>
      </c>
      <c r="D29" s="138">
        <f t="shared" si="7"/>
        <v>1800</v>
      </c>
      <c r="E29" s="59">
        <f t="shared" ref="E29:K29" si="9">$C$29*$D$29*E23</f>
        <v>0</v>
      </c>
      <c r="F29" s="59">
        <f t="shared" si="9"/>
        <v>0</v>
      </c>
      <c r="G29" s="59">
        <f t="shared" si="9"/>
        <v>0</v>
      </c>
      <c r="H29" s="59">
        <f t="shared" si="9"/>
        <v>0</v>
      </c>
      <c r="I29" s="59">
        <f t="shared" si="9"/>
        <v>0</v>
      </c>
      <c r="J29" s="59">
        <f t="shared" si="9"/>
        <v>0</v>
      </c>
      <c r="K29" s="59">
        <f t="shared" si="9"/>
        <v>0</v>
      </c>
      <c r="P29" s="52"/>
    </row>
    <row r="30" spans="1:16" ht="15.75" customHeight="1">
      <c r="A30" s="138" t="str">
        <f t="shared" si="5"/>
        <v>Rotavator</v>
      </c>
      <c r="B30" s="138"/>
      <c r="C30" s="138">
        <f t="shared" si="6"/>
        <v>0</v>
      </c>
      <c r="D30" s="138">
        <f t="shared" si="7"/>
        <v>1800</v>
      </c>
      <c r="E30" s="59">
        <f t="shared" ref="E30:K30" si="10">$C$30*$D$30*E23</f>
        <v>0</v>
      </c>
      <c r="F30" s="59">
        <f t="shared" si="10"/>
        <v>0</v>
      </c>
      <c r="G30" s="59">
        <f t="shared" si="10"/>
        <v>0</v>
      </c>
      <c r="H30" s="59">
        <f t="shared" si="10"/>
        <v>0</v>
      </c>
      <c r="I30" s="59">
        <f t="shared" si="10"/>
        <v>0</v>
      </c>
      <c r="J30" s="59">
        <f t="shared" si="10"/>
        <v>0</v>
      </c>
      <c r="K30" s="59">
        <f t="shared" si="10"/>
        <v>0</v>
      </c>
      <c r="P30" s="52"/>
    </row>
    <row r="31" spans="1:16" ht="15.75" customHeight="1">
      <c r="A31" s="138" t="str">
        <f t="shared" si="5"/>
        <v>BBF Seed Sowing Machine</v>
      </c>
      <c r="B31" s="138"/>
      <c r="C31" s="138">
        <f t="shared" si="6"/>
        <v>0</v>
      </c>
      <c r="D31" s="138">
        <f t="shared" si="7"/>
        <v>1200</v>
      </c>
      <c r="E31" s="59">
        <f t="shared" ref="E31:K31" si="11">$C$31*$D$31*E23</f>
        <v>0</v>
      </c>
      <c r="F31" s="59">
        <f t="shared" si="11"/>
        <v>0</v>
      </c>
      <c r="G31" s="59">
        <f t="shared" si="11"/>
        <v>0</v>
      </c>
      <c r="H31" s="59">
        <f t="shared" si="11"/>
        <v>0</v>
      </c>
      <c r="I31" s="59">
        <f t="shared" si="11"/>
        <v>0</v>
      </c>
      <c r="J31" s="59">
        <f t="shared" si="11"/>
        <v>0</v>
      </c>
      <c r="K31" s="59">
        <f t="shared" si="11"/>
        <v>0</v>
      </c>
      <c r="P31" s="52"/>
    </row>
    <row r="32" spans="1:16" ht="15.75" customHeight="1">
      <c r="A32" s="138" t="str">
        <f t="shared" si="5"/>
        <v>Mobile Threshing</v>
      </c>
      <c r="B32" s="138"/>
      <c r="C32" s="138">
        <f t="shared" si="6"/>
        <v>0</v>
      </c>
      <c r="D32" s="138">
        <f t="shared" si="7"/>
        <v>3000</v>
      </c>
      <c r="E32" s="59">
        <f t="shared" ref="E32:K32" si="12">$C$32*$D$32*E23</f>
        <v>0</v>
      </c>
      <c r="F32" s="59">
        <f t="shared" si="12"/>
        <v>0</v>
      </c>
      <c r="G32" s="59">
        <f t="shared" si="12"/>
        <v>0</v>
      </c>
      <c r="H32" s="59">
        <f t="shared" si="12"/>
        <v>0</v>
      </c>
      <c r="I32" s="59">
        <f t="shared" si="12"/>
        <v>0</v>
      </c>
      <c r="J32" s="59">
        <f t="shared" si="12"/>
        <v>0</v>
      </c>
      <c r="K32" s="59">
        <f t="shared" si="12"/>
        <v>0</v>
      </c>
      <c r="P32" s="52"/>
    </row>
    <row r="33" spans="1:16" ht="15.75" customHeight="1">
      <c r="A33" s="138"/>
      <c r="B33" s="138"/>
      <c r="C33" s="138">
        <f t="shared" si="6"/>
        <v>0</v>
      </c>
      <c r="D33" s="138">
        <f t="shared" si="7"/>
        <v>0</v>
      </c>
      <c r="E33" s="59">
        <f t="shared" ref="E33:K33" si="13">$C$33*$D$33*E23</f>
        <v>0</v>
      </c>
      <c r="F33" s="59">
        <f t="shared" si="13"/>
        <v>0</v>
      </c>
      <c r="G33" s="59">
        <f t="shared" si="13"/>
        <v>0</v>
      </c>
      <c r="H33" s="59">
        <f t="shared" si="13"/>
        <v>0</v>
      </c>
      <c r="I33" s="59">
        <f t="shared" si="13"/>
        <v>0</v>
      </c>
      <c r="J33" s="59">
        <f t="shared" si="13"/>
        <v>0</v>
      </c>
      <c r="K33" s="59">
        <f t="shared" si="13"/>
        <v>0</v>
      </c>
      <c r="P33" s="52"/>
    </row>
    <row r="34" spans="1:16" ht="15.75" customHeight="1">
      <c r="A34" s="138"/>
      <c r="B34" s="138"/>
      <c r="C34" s="138">
        <f t="shared" si="6"/>
        <v>0</v>
      </c>
      <c r="D34" s="138">
        <f t="shared" si="7"/>
        <v>0</v>
      </c>
      <c r="E34" s="59">
        <f t="shared" ref="E34:K34" si="14">$C$34*$D$34*E23</f>
        <v>0</v>
      </c>
      <c r="F34" s="59">
        <f t="shared" si="14"/>
        <v>0</v>
      </c>
      <c r="G34" s="59">
        <f t="shared" si="14"/>
        <v>0</v>
      </c>
      <c r="H34" s="59">
        <f t="shared" si="14"/>
        <v>0</v>
      </c>
      <c r="I34" s="59">
        <f t="shared" si="14"/>
        <v>0</v>
      </c>
      <c r="J34" s="59">
        <f t="shared" si="14"/>
        <v>0</v>
      </c>
      <c r="K34" s="59">
        <f t="shared" si="14"/>
        <v>0</v>
      </c>
      <c r="P34" s="52"/>
    </row>
    <row r="35" spans="1:16" ht="15.75" customHeight="1">
      <c r="A35" s="138"/>
      <c r="B35" s="138"/>
      <c r="C35" s="138">
        <f t="shared" si="6"/>
        <v>0</v>
      </c>
      <c r="D35" s="138">
        <f t="shared" si="7"/>
        <v>0</v>
      </c>
      <c r="E35" s="59">
        <f t="shared" ref="E35:K35" si="15">$C$35*$D$35*E23</f>
        <v>0</v>
      </c>
      <c r="F35" s="59">
        <f t="shared" si="15"/>
        <v>0</v>
      </c>
      <c r="G35" s="59">
        <f t="shared" si="15"/>
        <v>0</v>
      </c>
      <c r="H35" s="59">
        <f t="shared" si="15"/>
        <v>0</v>
      </c>
      <c r="I35" s="59">
        <f t="shared" si="15"/>
        <v>0</v>
      </c>
      <c r="J35" s="59">
        <f t="shared" si="15"/>
        <v>0</v>
      </c>
      <c r="K35" s="59">
        <f t="shared" si="15"/>
        <v>0</v>
      </c>
      <c r="P35" s="52"/>
    </row>
    <row r="36" spans="1:16" ht="15.75" customHeight="1">
      <c r="A36" s="138"/>
      <c r="B36" s="138"/>
      <c r="C36" s="138">
        <f t="shared" si="6"/>
        <v>0</v>
      </c>
      <c r="D36" s="138">
        <f t="shared" si="7"/>
        <v>0</v>
      </c>
      <c r="E36" s="59">
        <f t="shared" ref="E36:K36" si="16">$C$36*$D$36*E23</f>
        <v>0</v>
      </c>
      <c r="F36" s="59">
        <f t="shared" si="16"/>
        <v>0</v>
      </c>
      <c r="G36" s="59">
        <f t="shared" si="16"/>
        <v>0</v>
      </c>
      <c r="H36" s="59">
        <f t="shared" si="16"/>
        <v>0</v>
      </c>
      <c r="I36" s="59">
        <f t="shared" si="16"/>
        <v>0</v>
      </c>
      <c r="J36" s="59">
        <f t="shared" si="16"/>
        <v>0</v>
      </c>
      <c r="K36" s="59">
        <f t="shared" si="16"/>
        <v>0</v>
      </c>
      <c r="P36" s="52"/>
    </row>
    <row r="37" spans="1:16" ht="15.75" customHeight="1">
      <c r="A37" s="138"/>
      <c r="B37" s="138"/>
      <c r="C37" s="138">
        <f t="shared" si="6"/>
        <v>0</v>
      </c>
      <c r="D37" s="138">
        <f t="shared" si="7"/>
        <v>0</v>
      </c>
      <c r="E37" s="59">
        <f t="shared" ref="E37:K37" si="17">$C$37*$D$37*E23</f>
        <v>0</v>
      </c>
      <c r="F37" s="59">
        <f t="shared" si="17"/>
        <v>0</v>
      </c>
      <c r="G37" s="59">
        <f t="shared" si="17"/>
        <v>0</v>
      </c>
      <c r="H37" s="59">
        <f t="shared" si="17"/>
        <v>0</v>
      </c>
      <c r="I37" s="59">
        <f t="shared" si="17"/>
        <v>0</v>
      </c>
      <c r="J37" s="59">
        <f t="shared" si="17"/>
        <v>0</v>
      </c>
      <c r="K37" s="59">
        <f t="shared" si="17"/>
        <v>0</v>
      </c>
      <c r="P37" s="52"/>
    </row>
    <row r="38" spans="1:16" ht="15.75" customHeight="1">
      <c r="A38" s="60"/>
      <c r="B38" s="60"/>
      <c r="C38" s="138">
        <f t="shared" si="6"/>
        <v>0</v>
      </c>
      <c r="D38" s="138">
        <f t="shared" si="7"/>
        <v>0</v>
      </c>
      <c r="E38" s="59">
        <f t="shared" ref="E38:K38" si="18">$C$38*$D$38*E23</f>
        <v>0</v>
      </c>
      <c r="F38" s="59">
        <f t="shared" si="18"/>
        <v>0</v>
      </c>
      <c r="G38" s="59">
        <f t="shared" si="18"/>
        <v>0</v>
      </c>
      <c r="H38" s="59">
        <f t="shared" si="18"/>
        <v>0</v>
      </c>
      <c r="I38" s="59">
        <f t="shared" si="18"/>
        <v>0</v>
      </c>
      <c r="J38" s="59">
        <f t="shared" si="18"/>
        <v>0</v>
      </c>
      <c r="K38" s="59">
        <f t="shared" si="18"/>
        <v>0</v>
      </c>
      <c r="P38" s="52"/>
    </row>
    <row r="39" spans="1:16" ht="15.75" customHeight="1">
      <c r="A39" s="60" t="s">
        <v>351</v>
      </c>
      <c r="B39" s="60"/>
      <c r="C39" s="60"/>
      <c r="D39" s="60"/>
      <c r="E39" s="59">
        <f t="shared" ref="E39:K39" si="19">SUM(E28:E38)</f>
        <v>0</v>
      </c>
      <c r="F39" s="59">
        <f t="shared" si="19"/>
        <v>0</v>
      </c>
      <c r="G39" s="59">
        <f t="shared" si="19"/>
        <v>0</v>
      </c>
      <c r="H39" s="59">
        <f t="shared" si="19"/>
        <v>0</v>
      </c>
      <c r="I39" s="59">
        <f t="shared" si="19"/>
        <v>0</v>
      </c>
      <c r="J39" s="59">
        <f t="shared" si="19"/>
        <v>0</v>
      </c>
      <c r="K39" s="59">
        <f t="shared" si="19"/>
        <v>0</v>
      </c>
      <c r="P39" s="52"/>
    </row>
    <row r="40" spans="1:16" ht="15.75" customHeight="1">
      <c r="A40" s="57"/>
      <c r="B40" s="57"/>
      <c r="C40" s="57"/>
      <c r="D40" s="57"/>
      <c r="E40" s="59"/>
      <c r="F40" s="59"/>
      <c r="G40" s="59"/>
      <c r="H40" s="59"/>
      <c r="I40" s="59"/>
      <c r="J40" s="59"/>
      <c r="K40" s="59"/>
      <c r="P40" s="52"/>
    </row>
    <row r="41" spans="1:16" ht="15.75" customHeight="1">
      <c r="A41" s="60" t="s">
        <v>581</v>
      </c>
      <c r="B41" s="60"/>
      <c r="C41" s="60"/>
      <c r="D41" s="60"/>
      <c r="E41" s="59"/>
      <c r="F41" s="59"/>
      <c r="G41" s="59"/>
      <c r="H41" s="59"/>
      <c r="I41" s="59"/>
      <c r="J41" s="59"/>
      <c r="K41" s="59"/>
      <c r="P41" s="52"/>
    </row>
    <row r="42" spans="1:16" ht="15.75" customHeight="1">
      <c r="A42" s="60" t="s">
        <v>655</v>
      </c>
      <c r="B42" s="60"/>
      <c r="C42" s="60"/>
      <c r="D42" s="60"/>
      <c r="E42" s="59"/>
      <c r="F42" s="59"/>
      <c r="G42" s="59"/>
      <c r="H42" s="59"/>
      <c r="I42" s="59"/>
      <c r="J42" s="59"/>
      <c r="K42" s="59"/>
    </row>
    <row r="43" spans="1:16" ht="15.75" customHeight="1">
      <c r="A43" s="57" t="s">
        <v>656</v>
      </c>
      <c r="B43" s="57" t="s">
        <v>657</v>
      </c>
      <c r="C43" s="57">
        <f>SUM(J8:J17)</f>
        <v>0</v>
      </c>
      <c r="D43" s="41">
        <v>100</v>
      </c>
      <c r="E43" s="59">
        <f t="shared" ref="E43:K43" si="20">$C$43*$D$43*E23</f>
        <v>0</v>
      </c>
      <c r="F43" s="59">
        <f t="shared" si="20"/>
        <v>0</v>
      </c>
      <c r="G43" s="59">
        <f t="shared" si="20"/>
        <v>0</v>
      </c>
      <c r="H43" s="59">
        <f t="shared" si="20"/>
        <v>0</v>
      </c>
      <c r="I43" s="59">
        <f t="shared" si="20"/>
        <v>0</v>
      </c>
      <c r="J43" s="59">
        <f t="shared" si="20"/>
        <v>0</v>
      </c>
      <c r="K43" s="59">
        <f t="shared" si="20"/>
        <v>0</v>
      </c>
    </row>
    <row r="44" spans="1:16" ht="15.75" customHeight="1">
      <c r="A44" s="57" t="s">
        <v>658</v>
      </c>
      <c r="B44" s="57" t="s">
        <v>659</v>
      </c>
      <c r="C44" s="57">
        <f>SUM(M8:M17)</f>
        <v>0</v>
      </c>
      <c r="D44" s="41">
        <v>300</v>
      </c>
      <c r="E44" s="59">
        <f t="shared" ref="E44:K44" si="21">$C$44*$D$44*E23</f>
        <v>0</v>
      </c>
      <c r="F44" s="59">
        <f t="shared" si="21"/>
        <v>0</v>
      </c>
      <c r="G44" s="59">
        <f t="shared" si="21"/>
        <v>0</v>
      </c>
      <c r="H44" s="59">
        <f t="shared" si="21"/>
        <v>0</v>
      </c>
      <c r="I44" s="59">
        <f t="shared" si="21"/>
        <v>0</v>
      </c>
      <c r="J44" s="59">
        <f t="shared" si="21"/>
        <v>0</v>
      </c>
      <c r="K44" s="59">
        <f t="shared" si="21"/>
        <v>0</v>
      </c>
    </row>
    <row r="45" spans="1:16" ht="15.75" customHeight="1">
      <c r="A45" s="57"/>
      <c r="B45" s="57"/>
      <c r="C45" s="41"/>
      <c r="D45" s="41"/>
      <c r="E45" s="59"/>
      <c r="F45" s="59"/>
      <c r="G45" s="59"/>
      <c r="H45" s="59"/>
      <c r="I45" s="59"/>
      <c r="J45" s="59"/>
      <c r="K45" s="59"/>
    </row>
    <row r="46" spans="1:16" ht="15.75" customHeight="1">
      <c r="A46" s="57"/>
      <c r="B46" s="57"/>
      <c r="C46" s="41"/>
      <c r="D46" s="41"/>
      <c r="E46" s="59"/>
      <c r="F46" s="59"/>
      <c r="G46" s="59"/>
      <c r="H46" s="59"/>
      <c r="I46" s="59"/>
      <c r="J46" s="59"/>
      <c r="K46" s="59"/>
    </row>
    <row r="47" spans="1:16" ht="15.75" customHeight="1">
      <c r="A47" s="57"/>
      <c r="B47" s="57"/>
      <c r="C47" s="41"/>
      <c r="D47" s="41"/>
      <c r="E47" s="59"/>
      <c r="F47" s="59"/>
      <c r="G47" s="59"/>
      <c r="H47" s="59"/>
      <c r="I47" s="59"/>
      <c r="J47" s="59"/>
      <c r="K47" s="59"/>
    </row>
    <row r="48" spans="1:16" ht="15.75" customHeight="1">
      <c r="A48" s="57"/>
      <c r="B48" s="57"/>
      <c r="C48" s="41"/>
      <c r="D48" s="41"/>
      <c r="E48" s="59"/>
      <c r="F48" s="59"/>
      <c r="G48" s="59"/>
      <c r="H48" s="59"/>
      <c r="I48" s="59"/>
      <c r="J48" s="59"/>
      <c r="K48" s="59"/>
    </row>
    <row r="49" spans="1:12" ht="15.75" customHeight="1">
      <c r="A49" s="60" t="s">
        <v>353</v>
      </c>
      <c r="B49" s="60"/>
      <c r="C49" s="43"/>
      <c r="D49" s="43"/>
      <c r="E49" s="61">
        <f t="shared" ref="E49:K49" si="22">SUM(E43:E48)</f>
        <v>0</v>
      </c>
      <c r="F49" s="61">
        <f t="shared" si="22"/>
        <v>0</v>
      </c>
      <c r="G49" s="61">
        <f t="shared" si="22"/>
        <v>0</v>
      </c>
      <c r="H49" s="61">
        <f t="shared" si="22"/>
        <v>0</v>
      </c>
      <c r="I49" s="61">
        <f t="shared" si="22"/>
        <v>0</v>
      </c>
      <c r="J49" s="61">
        <f t="shared" si="22"/>
        <v>0</v>
      </c>
      <c r="K49" s="61">
        <f t="shared" si="22"/>
        <v>0</v>
      </c>
    </row>
    <row r="50" spans="1:12" ht="15.75" customHeight="1">
      <c r="A50" s="60"/>
      <c r="B50" s="60"/>
      <c r="C50" s="43"/>
      <c r="D50" s="43"/>
      <c r="E50" s="61"/>
      <c r="F50" s="61"/>
      <c r="G50" s="61"/>
      <c r="H50" s="61"/>
      <c r="I50" s="61"/>
      <c r="J50" s="61"/>
      <c r="K50" s="61"/>
    </row>
    <row r="51" spans="1:12" ht="15.75" customHeight="1">
      <c r="A51" s="136" t="s">
        <v>354</v>
      </c>
      <c r="B51" s="136"/>
      <c r="C51" s="179"/>
      <c r="D51" s="179"/>
      <c r="E51" s="59"/>
      <c r="F51" s="59"/>
      <c r="G51" s="59"/>
      <c r="H51" s="59"/>
      <c r="I51" s="59"/>
      <c r="J51" s="59"/>
      <c r="K51" s="59"/>
    </row>
    <row r="52" spans="1:12" ht="15.75" customHeight="1">
      <c r="A52" s="138" t="s">
        <v>660</v>
      </c>
      <c r="B52" s="57" t="s">
        <v>161</v>
      </c>
      <c r="C52" s="179">
        <v>1</v>
      </c>
      <c r="D52" s="184"/>
      <c r="E52" s="59">
        <f t="shared" ref="E52:K52" si="23">$C$52*$D$52*12*E23</f>
        <v>0</v>
      </c>
      <c r="F52" s="59">
        <f t="shared" si="23"/>
        <v>0</v>
      </c>
      <c r="G52" s="59">
        <f t="shared" si="23"/>
        <v>0</v>
      </c>
      <c r="H52" s="59">
        <f t="shared" si="23"/>
        <v>0</v>
      </c>
      <c r="I52" s="59">
        <f t="shared" si="23"/>
        <v>0</v>
      </c>
      <c r="J52" s="59">
        <f t="shared" si="23"/>
        <v>0</v>
      </c>
      <c r="K52" s="59">
        <f t="shared" si="23"/>
        <v>0</v>
      </c>
    </row>
    <row r="53" spans="1:12" ht="15.75" customHeight="1">
      <c r="A53" s="138"/>
      <c r="B53" s="138"/>
      <c r="C53" s="179"/>
      <c r="D53" s="184"/>
      <c r="E53" s="59"/>
      <c r="F53" s="59"/>
      <c r="G53" s="59"/>
      <c r="H53" s="59"/>
      <c r="I53" s="59"/>
      <c r="J53" s="59"/>
      <c r="K53" s="59"/>
    </row>
    <row r="54" spans="1:12" ht="15.75" customHeight="1">
      <c r="A54" s="138"/>
      <c r="B54" s="138"/>
      <c r="C54" s="179"/>
      <c r="D54" s="184"/>
      <c r="E54" s="59"/>
      <c r="F54" s="59"/>
      <c r="G54" s="59"/>
      <c r="H54" s="59"/>
      <c r="I54" s="59"/>
      <c r="J54" s="59"/>
      <c r="K54" s="59"/>
    </row>
    <row r="55" spans="1:12" ht="15.75" customHeight="1">
      <c r="A55" s="138"/>
      <c r="B55" s="138"/>
      <c r="C55" s="179"/>
      <c r="D55" s="184"/>
      <c r="E55" s="59"/>
      <c r="F55" s="59"/>
      <c r="G55" s="59"/>
      <c r="H55" s="59"/>
      <c r="I55" s="59"/>
      <c r="J55" s="59"/>
      <c r="K55" s="59"/>
    </row>
    <row r="56" spans="1:12" ht="15.75" customHeight="1">
      <c r="A56" s="60" t="s">
        <v>356</v>
      </c>
      <c r="B56" s="60"/>
      <c r="C56" s="60"/>
      <c r="D56" s="60"/>
      <c r="E56" s="61">
        <f t="shared" ref="E56:K56" si="24">SUM(E52:E55)</f>
        <v>0</v>
      </c>
      <c r="F56" s="61">
        <f t="shared" si="24"/>
        <v>0</v>
      </c>
      <c r="G56" s="61">
        <f t="shared" si="24"/>
        <v>0</v>
      </c>
      <c r="H56" s="61">
        <f t="shared" si="24"/>
        <v>0</v>
      </c>
      <c r="I56" s="61">
        <f t="shared" si="24"/>
        <v>0</v>
      </c>
      <c r="J56" s="61">
        <f t="shared" si="24"/>
        <v>0</v>
      </c>
      <c r="K56" s="61">
        <f t="shared" si="24"/>
        <v>0</v>
      </c>
    </row>
    <row r="57" spans="1:12" ht="15.75" customHeight="1">
      <c r="A57" s="60" t="s">
        <v>589</v>
      </c>
      <c r="B57" s="60"/>
      <c r="C57" s="60"/>
      <c r="D57" s="60"/>
      <c r="E57" s="61">
        <f t="shared" ref="E57:K57" si="25">E49+E56</f>
        <v>0</v>
      </c>
      <c r="F57" s="61">
        <f t="shared" si="25"/>
        <v>0</v>
      </c>
      <c r="G57" s="61">
        <f t="shared" si="25"/>
        <v>0</v>
      </c>
      <c r="H57" s="61">
        <f t="shared" si="25"/>
        <v>0</v>
      </c>
      <c r="I57" s="61">
        <f t="shared" si="25"/>
        <v>0</v>
      </c>
      <c r="J57" s="61">
        <f t="shared" si="25"/>
        <v>0</v>
      </c>
      <c r="K57" s="61">
        <f t="shared" si="25"/>
        <v>0</v>
      </c>
    </row>
    <row r="58" spans="1:12" ht="15.75" customHeight="1">
      <c r="A58" s="57"/>
      <c r="B58" s="57"/>
      <c r="C58" s="57"/>
      <c r="D58" s="57"/>
      <c r="E58" s="59"/>
      <c r="F58" s="59"/>
      <c r="G58" s="59"/>
      <c r="H58" s="59"/>
      <c r="I58" s="59"/>
      <c r="J58" s="59"/>
      <c r="K58" s="59"/>
    </row>
    <row r="59" spans="1:12" ht="15.75" customHeight="1">
      <c r="A59" s="60" t="s">
        <v>661</v>
      </c>
      <c r="B59" s="60"/>
      <c r="C59" s="60"/>
      <c r="D59" s="60"/>
      <c r="E59" s="61">
        <f t="shared" ref="E59:K59" si="26">E39-E57</f>
        <v>0</v>
      </c>
      <c r="F59" s="61">
        <f t="shared" si="26"/>
        <v>0</v>
      </c>
      <c r="G59" s="61">
        <f t="shared" si="26"/>
        <v>0</v>
      </c>
      <c r="H59" s="61">
        <f t="shared" si="26"/>
        <v>0</v>
      </c>
      <c r="I59" s="61">
        <f t="shared" si="26"/>
        <v>0</v>
      </c>
      <c r="J59" s="61">
        <f t="shared" si="26"/>
        <v>0</v>
      </c>
      <c r="K59" s="61">
        <f t="shared" si="26"/>
        <v>0</v>
      </c>
    </row>
    <row r="60" spans="1:12" ht="15.75" customHeight="1">
      <c r="A60" s="75"/>
      <c r="B60" s="75"/>
      <c r="C60" s="75"/>
      <c r="D60" s="75"/>
      <c r="E60" s="185"/>
      <c r="F60" s="185"/>
      <c r="G60" s="185"/>
      <c r="H60" s="185"/>
      <c r="I60" s="185"/>
      <c r="J60" s="185"/>
      <c r="K60" s="185"/>
    </row>
    <row r="61" spans="1:12" ht="15.75" customHeight="1">
      <c r="A61" s="52"/>
      <c r="B61" s="52"/>
      <c r="C61" s="75"/>
      <c r="D61" s="75"/>
      <c r="E61" s="185"/>
      <c r="F61" s="185"/>
      <c r="G61" s="185"/>
      <c r="H61" s="185"/>
      <c r="I61" s="185"/>
      <c r="J61" s="185"/>
      <c r="K61" s="185"/>
    </row>
    <row r="62" spans="1:12" ht="15.75" customHeight="1">
      <c r="A62" s="269" t="s">
        <v>662</v>
      </c>
      <c r="B62" s="251"/>
      <c r="C62" s="251"/>
      <c r="D62" s="251"/>
      <c r="E62" s="251"/>
      <c r="F62" s="251"/>
      <c r="G62" s="251"/>
      <c r="H62" s="251"/>
      <c r="I62" s="251"/>
      <c r="J62" s="251"/>
      <c r="K62" s="251"/>
      <c r="L62" s="251"/>
    </row>
    <row r="63" spans="1:12" ht="15.75" customHeight="1"/>
    <row r="64" spans="1:12" ht="15.75" customHeight="1"/>
    <row r="65" spans="1:2" ht="15.75" customHeight="1">
      <c r="A65" t="s">
        <v>314</v>
      </c>
    </row>
    <row r="66" spans="1:2" ht="15.75" customHeight="1">
      <c r="A66">
        <v>1</v>
      </c>
      <c r="B66" t="s">
        <v>593</v>
      </c>
    </row>
    <row r="67" spans="1:2" ht="15.75" customHeight="1">
      <c r="A67">
        <v>2</v>
      </c>
      <c r="B67" t="s">
        <v>594</v>
      </c>
    </row>
    <row r="68" spans="1:2" ht="15.75" customHeight="1">
      <c r="A68">
        <v>3</v>
      </c>
      <c r="B68" s="52" t="s">
        <v>595</v>
      </c>
    </row>
    <row r="69" spans="1:2" ht="15.75" customHeight="1"/>
    <row r="70" spans="1:2" ht="15.75" customHeight="1"/>
    <row r="71" spans="1:2" ht="15.75" customHeight="1"/>
    <row r="72" spans="1:2" ht="15.75" customHeight="1"/>
    <row r="73" spans="1:2" ht="15.75" customHeight="1"/>
    <row r="74" spans="1:2" ht="15.75" customHeight="1"/>
    <row r="75" spans="1:2" ht="15.75" customHeight="1"/>
    <row r="76" spans="1:2" ht="15.75" customHeight="1"/>
    <row r="77" spans="1:2" ht="15.75" customHeight="1"/>
    <row r="78" spans="1:2" ht="15.75" customHeight="1"/>
    <row r="79" spans="1:2" ht="15.75" customHeight="1"/>
    <row r="80" spans="1: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21:K21"/>
    <mergeCell ref="A3:L3"/>
    <mergeCell ref="A62:L62"/>
    <mergeCell ref="A4:L4"/>
  </mergeCells>
  <pageMargins left="0.7" right="0.7" top="0.75" bottom="0.75" header="0" footer="0"/>
  <pageSetup paperSize="9" scale="45"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W284"/>
  <sheetViews>
    <sheetView topLeftCell="A29" workbookViewId="0"/>
  </sheetViews>
  <sheetFormatPr defaultColWidth="14.42578125" defaultRowHeight="15" customHeight="1"/>
  <cols>
    <col min="1" max="1" width="41.140625" customWidth="1"/>
    <col min="2" max="2" width="4.42578125" customWidth="1"/>
    <col min="3" max="3" width="10.5703125" customWidth="1"/>
    <col min="4" max="4" width="13.42578125" customWidth="1"/>
    <col min="5" max="5" width="19.42578125" customWidth="1"/>
    <col min="6" max="10" width="14.7109375" customWidth="1"/>
    <col min="11" max="11" width="8.7109375" customWidth="1"/>
    <col min="12" max="12" width="27.140625" customWidth="1"/>
    <col min="13" max="17" width="8.7109375" customWidth="1"/>
    <col min="18" max="20" width="9.42578125" customWidth="1"/>
    <col min="21" max="21" width="8.7109375" customWidth="1"/>
    <col min="22" max="22" width="9.42578125" customWidth="1"/>
    <col min="23" max="23" width="8.7109375" customWidth="1"/>
  </cols>
  <sheetData>
    <row r="2" spans="1:9" ht="18.75">
      <c r="A2" s="267" t="s">
        <v>663</v>
      </c>
      <c r="B2" s="251"/>
      <c r="C2" s="251"/>
      <c r="D2" s="251"/>
      <c r="E2" s="251"/>
      <c r="F2" s="251"/>
      <c r="G2" s="251"/>
      <c r="H2" s="251"/>
      <c r="I2" s="251"/>
    </row>
    <row r="4" spans="1:9">
      <c r="A4" s="52"/>
      <c r="B4" s="52"/>
      <c r="C4" s="52"/>
      <c r="D4" s="52"/>
      <c r="E4" s="52"/>
      <c r="F4" s="52"/>
      <c r="G4" s="52"/>
      <c r="H4" s="52"/>
      <c r="I4" s="52"/>
    </row>
    <row r="5" spans="1:9">
      <c r="A5" s="52"/>
      <c r="B5" s="52"/>
      <c r="C5" s="52"/>
      <c r="D5" s="52"/>
      <c r="E5" s="52"/>
      <c r="F5" s="52"/>
      <c r="G5" s="52"/>
      <c r="H5" s="52"/>
      <c r="I5" s="52"/>
    </row>
    <row r="6" spans="1:9">
      <c r="A6" s="55" t="s">
        <v>82</v>
      </c>
      <c r="B6" s="55"/>
      <c r="C6" s="56" t="s">
        <v>153</v>
      </c>
      <c r="D6" s="56" t="s">
        <v>154</v>
      </c>
      <c r="E6" s="56" t="s">
        <v>155</v>
      </c>
      <c r="F6" s="56" t="s">
        <v>156</v>
      </c>
      <c r="G6" s="56" t="s">
        <v>157</v>
      </c>
      <c r="H6" s="56" t="s">
        <v>158</v>
      </c>
      <c r="I6" s="56" t="s">
        <v>159</v>
      </c>
    </row>
    <row r="7" spans="1:9">
      <c r="A7" s="60" t="s">
        <v>664</v>
      </c>
      <c r="B7" s="57"/>
      <c r="C7" s="57"/>
      <c r="D7" s="57"/>
      <c r="E7" s="57"/>
      <c r="F7" s="57"/>
      <c r="G7" s="57"/>
      <c r="H7" s="57"/>
      <c r="I7" s="57"/>
    </row>
    <row r="8" spans="1:9">
      <c r="A8" s="60" t="s">
        <v>665</v>
      </c>
      <c r="B8" s="171"/>
      <c r="C8" s="186"/>
      <c r="D8" s="186"/>
      <c r="E8" s="186"/>
      <c r="F8" s="186"/>
      <c r="G8" s="186"/>
      <c r="H8" s="186"/>
      <c r="I8" s="186"/>
    </row>
    <row r="9" spans="1:9">
      <c r="A9" s="57" t="str">
        <f>'10.Grain Production details'!A92</f>
        <v>Soybean</v>
      </c>
      <c r="B9" s="171"/>
      <c r="C9" s="186">
        <f>'10.Grain Production details'!B92</f>
        <v>0</v>
      </c>
      <c r="D9" s="186">
        <f>'10.Grain Production details'!C92</f>
        <v>0</v>
      </c>
      <c r="E9" s="186">
        <f>'10.Grain Production details'!D92</f>
        <v>0</v>
      </c>
      <c r="F9" s="186">
        <f>'10.Grain Production details'!E92</f>
        <v>0</v>
      </c>
      <c r="G9" s="186">
        <f>'10.Grain Production details'!F92</f>
        <v>0</v>
      </c>
      <c r="H9" s="186">
        <f>'10.Grain Production details'!G92</f>
        <v>0</v>
      </c>
      <c r="I9" s="186">
        <f>'10.Grain Production details'!H92</f>
        <v>0</v>
      </c>
    </row>
    <row r="10" spans="1:9">
      <c r="A10" s="57" t="str">
        <f>'10.Grain Production details'!A93</f>
        <v>Red Gram/Tur</v>
      </c>
      <c r="B10" s="171"/>
      <c r="C10" s="186">
        <f>'10.Grain Production details'!B93</f>
        <v>0</v>
      </c>
      <c r="D10" s="186">
        <f>'10.Grain Production details'!C93</f>
        <v>0</v>
      </c>
      <c r="E10" s="186">
        <f>'10.Grain Production details'!D93</f>
        <v>0</v>
      </c>
      <c r="F10" s="186">
        <f>'10.Grain Production details'!E93</f>
        <v>0</v>
      </c>
      <c r="G10" s="186">
        <f>'10.Grain Production details'!F93</f>
        <v>0</v>
      </c>
      <c r="H10" s="186">
        <f>'10.Grain Production details'!G93</f>
        <v>0</v>
      </c>
      <c r="I10" s="186">
        <f>'10.Grain Production details'!H93</f>
        <v>0</v>
      </c>
    </row>
    <row r="11" spans="1:9">
      <c r="A11" s="57" t="str">
        <f>'10.Grain Production details'!A94</f>
        <v>Paddy/Rice</v>
      </c>
      <c r="B11" s="171"/>
      <c r="C11" s="186">
        <f>'10.Grain Production details'!B94</f>
        <v>0</v>
      </c>
      <c r="D11" s="186">
        <f>'10.Grain Production details'!C94</f>
        <v>0</v>
      </c>
      <c r="E11" s="186">
        <f>'10.Grain Production details'!D94</f>
        <v>0</v>
      </c>
      <c r="F11" s="186">
        <f>'10.Grain Production details'!E94</f>
        <v>0</v>
      </c>
      <c r="G11" s="186">
        <f>'10.Grain Production details'!F94</f>
        <v>0</v>
      </c>
      <c r="H11" s="186">
        <f>'10.Grain Production details'!G94</f>
        <v>0</v>
      </c>
      <c r="I11" s="186">
        <f>'10.Grain Production details'!H94</f>
        <v>0</v>
      </c>
    </row>
    <row r="12" spans="1:9">
      <c r="A12" s="57" t="str">
        <f>'10.Grain Production details'!A95</f>
        <v>Green Gram/ Moong</v>
      </c>
      <c r="B12" s="171"/>
      <c r="C12" s="186">
        <f>'10.Grain Production details'!B95</f>
        <v>0</v>
      </c>
      <c r="D12" s="186">
        <f>'10.Grain Production details'!C95</f>
        <v>0</v>
      </c>
      <c r="E12" s="186">
        <f>'10.Grain Production details'!D95</f>
        <v>0</v>
      </c>
      <c r="F12" s="186">
        <f>'10.Grain Production details'!E95</f>
        <v>0</v>
      </c>
      <c r="G12" s="186">
        <f>'10.Grain Production details'!F95</f>
        <v>0</v>
      </c>
      <c r="H12" s="186">
        <f>'10.Grain Production details'!G95</f>
        <v>0</v>
      </c>
      <c r="I12" s="186">
        <f>'10.Grain Production details'!H95</f>
        <v>0</v>
      </c>
    </row>
    <row r="13" spans="1:9">
      <c r="A13" s="57" t="str">
        <f>'10.Grain Production details'!A96</f>
        <v>Maize</v>
      </c>
      <c r="B13" s="171"/>
      <c r="C13" s="186">
        <f>'10.Grain Production details'!B96</f>
        <v>0</v>
      </c>
      <c r="D13" s="186">
        <f>'10.Grain Production details'!C96</f>
        <v>0</v>
      </c>
      <c r="E13" s="186">
        <f>'10.Grain Production details'!D96</f>
        <v>0</v>
      </c>
      <c r="F13" s="186">
        <f>'10.Grain Production details'!E96</f>
        <v>0</v>
      </c>
      <c r="G13" s="186">
        <f>'10.Grain Production details'!F96</f>
        <v>0</v>
      </c>
      <c r="H13" s="186">
        <f>'10.Grain Production details'!G96</f>
        <v>0</v>
      </c>
      <c r="I13" s="186">
        <f>'10.Grain Production details'!H96</f>
        <v>0</v>
      </c>
    </row>
    <row r="14" spans="1:9">
      <c r="A14" s="57" t="str">
        <f>'10.Grain Production details'!A97</f>
        <v>Black Gram/Udid</v>
      </c>
      <c r="B14" s="171"/>
      <c r="C14" s="186">
        <f>'10.Grain Production details'!B97</f>
        <v>0</v>
      </c>
      <c r="D14" s="186">
        <f>'10.Grain Production details'!C97</f>
        <v>0</v>
      </c>
      <c r="E14" s="186">
        <f>'10.Grain Production details'!D97</f>
        <v>0</v>
      </c>
      <c r="F14" s="186">
        <f>'10.Grain Production details'!E97</f>
        <v>0</v>
      </c>
      <c r="G14" s="186">
        <f>'10.Grain Production details'!F97</f>
        <v>0</v>
      </c>
      <c r="H14" s="186">
        <f>'10.Grain Production details'!G97</f>
        <v>0</v>
      </c>
      <c r="I14" s="186">
        <f>'10.Grain Production details'!H97</f>
        <v>0</v>
      </c>
    </row>
    <row r="15" spans="1:9">
      <c r="A15" s="57" t="str">
        <f>'10.Grain Production details'!A98</f>
        <v>Bajra</v>
      </c>
      <c r="B15" s="171"/>
      <c r="C15" s="186">
        <f>'10.Grain Production details'!B98</f>
        <v>0</v>
      </c>
      <c r="D15" s="186">
        <f>'10.Grain Production details'!C98</f>
        <v>0</v>
      </c>
      <c r="E15" s="186">
        <f>'10.Grain Production details'!D98</f>
        <v>0</v>
      </c>
      <c r="F15" s="186">
        <f>'10.Grain Production details'!E98</f>
        <v>0</v>
      </c>
      <c r="G15" s="186">
        <f>'10.Grain Production details'!F98</f>
        <v>0</v>
      </c>
      <c r="H15" s="186">
        <f>'10.Grain Production details'!G98</f>
        <v>0</v>
      </c>
      <c r="I15" s="186">
        <f>'10.Grain Production details'!H98</f>
        <v>0</v>
      </c>
    </row>
    <row r="16" spans="1:9">
      <c r="A16" s="57" t="str">
        <f>'10.Grain Production details'!A99</f>
        <v>Jawar</v>
      </c>
      <c r="B16" s="171"/>
      <c r="C16" s="186">
        <f>'10.Grain Production details'!B99</f>
        <v>0</v>
      </c>
      <c r="D16" s="186">
        <f>'10.Grain Production details'!C99</f>
        <v>0</v>
      </c>
      <c r="E16" s="186">
        <f>'10.Grain Production details'!D99</f>
        <v>0</v>
      </c>
      <c r="F16" s="186">
        <f>'10.Grain Production details'!E99</f>
        <v>0</v>
      </c>
      <c r="G16" s="186">
        <f>'10.Grain Production details'!F99</f>
        <v>0</v>
      </c>
      <c r="H16" s="186">
        <f>'10.Grain Production details'!G99</f>
        <v>0</v>
      </c>
      <c r="I16" s="186">
        <f>'10.Grain Production details'!H99</f>
        <v>0</v>
      </c>
    </row>
    <row r="17" spans="1:9">
      <c r="A17" s="60" t="s">
        <v>666</v>
      </c>
      <c r="B17" s="171"/>
      <c r="C17" s="186"/>
      <c r="D17" s="186"/>
      <c r="E17" s="186"/>
      <c r="F17" s="186"/>
      <c r="G17" s="186"/>
      <c r="H17" s="186"/>
      <c r="I17" s="186"/>
    </row>
    <row r="18" spans="1:9">
      <c r="A18" s="57" t="str">
        <f>'10.Grain Production details'!A101</f>
        <v>Wheat</v>
      </c>
      <c r="B18" s="171"/>
      <c r="C18" s="186">
        <f>'10.Grain Production details'!B101</f>
        <v>0</v>
      </c>
      <c r="D18" s="186">
        <f>'10.Grain Production details'!C101</f>
        <v>0</v>
      </c>
      <c r="E18" s="186">
        <f>'10.Grain Production details'!D101</f>
        <v>0</v>
      </c>
      <c r="F18" s="186">
        <f>'10.Grain Production details'!E101</f>
        <v>0</v>
      </c>
      <c r="G18" s="186">
        <f>'10.Grain Production details'!F101</f>
        <v>0</v>
      </c>
      <c r="H18" s="186">
        <f>'10.Grain Production details'!G101</f>
        <v>0</v>
      </c>
      <c r="I18" s="186">
        <f>'10.Grain Production details'!H101</f>
        <v>0</v>
      </c>
    </row>
    <row r="19" spans="1:9">
      <c r="A19" s="57" t="str">
        <f>'10.Grain Production details'!A102</f>
        <v>Bengal Gram/Channa</v>
      </c>
      <c r="B19" s="171"/>
      <c r="C19" s="186">
        <f>'10.Grain Production details'!B102</f>
        <v>0</v>
      </c>
      <c r="D19" s="186">
        <f>'10.Grain Production details'!C102</f>
        <v>0</v>
      </c>
      <c r="E19" s="186">
        <f>'10.Grain Production details'!D102</f>
        <v>0</v>
      </c>
      <c r="F19" s="186">
        <f>'10.Grain Production details'!E102</f>
        <v>0</v>
      </c>
      <c r="G19" s="186">
        <f>'10.Grain Production details'!F102</f>
        <v>0</v>
      </c>
      <c r="H19" s="186">
        <f>'10.Grain Production details'!G102</f>
        <v>0</v>
      </c>
      <c r="I19" s="186">
        <f>'10.Grain Production details'!H102</f>
        <v>0</v>
      </c>
    </row>
    <row r="20" spans="1:9">
      <c r="A20" s="57" t="str">
        <f>'10.Grain Production details'!A103</f>
        <v>Jawar</v>
      </c>
      <c r="B20" s="171"/>
      <c r="C20" s="186">
        <f>'10.Grain Production details'!B103</f>
        <v>0</v>
      </c>
      <c r="D20" s="186">
        <f>'10.Grain Production details'!C103</f>
        <v>0</v>
      </c>
      <c r="E20" s="186">
        <f>'10.Grain Production details'!D103</f>
        <v>0</v>
      </c>
      <c r="F20" s="186">
        <f>'10.Grain Production details'!E103</f>
        <v>0</v>
      </c>
      <c r="G20" s="186">
        <f>'10.Grain Production details'!F103</f>
        <v>0</v>
      </c>
      <c r="H20" s="186">
        <f>'10.Grain Production details'!G103</f>
        <v>0</v>
      </c>
      <c r="I20" s="186">
        <f>'10.Grain Production details'!H103</f>
        <v>0</v>
      </c>
    </row>
    <row r="21" spans="1:9" ht="15.75" customHeight="1">
      <c r="A21" s="57" t="str">
        <f>'10.Grain Production details'!A104</f>
        <v>Maize</v>
      </c>
      <c r="B21" s="171"/>
      <c r="C21" s="186">
        <f>'10.Grain Production details'!B104</f>
        <v>0</v>
      </c>
      <c r="D21" s="186">
        <f>'10.Grain Production details'!C104</f>
        <v>0</v>
      </c>
      <c r="E21" s="186">
        <f>'10.Grain Production details'!D104</f>
        <v>0</v>
      </c>
      <c r="F21" s="186">
        <f>'10.Grain Production details'!E104</f>
        <v>0</v>
      </c>
      <c r="G21" s="186">
        <f>'10.Grain Production details'!F104</f>
        <v>0</v>
      </c>
      <c r="H21" s="186">
        <f>'10.Grain Production details'!G104</f>
        <v>0</v>
      </c>
      <c r="I21" s="186">
        <f>'10.Grain Production details'!H104</f>
        <v>0</v>
      </c>
    </row>
    <row r="22" spans="1:9" ht="15.75" customHeight="1">
      <c r="A22" s="57" t="str">
        <f>'10.Grain Production details'!A105</f>
        <v>Safflower</v>
      </c>
      <c r="B22" s="171"/>
      <c r="C22" s="186">
        <f>'10.Grain Production details'!B105</f>
        <v>0</v>
      </c>
      <c r="D22" s="186">
        <f>'10.Grain Production details'!C105</f>
        <v>0</v>
      </c>
      <c r="E22" s="186">
        <f>'10.Grain Production details'!D105</f>
        <v>0</v>
      </c>
      <c r="F22" s="186">
        <f>'10.Grain Production details'!E105</f>
        <v>0</v>
      </c>
      <c r="G22" s="186">
        <f>'10.Grain Production details'!F105</f>
        <v>0</v>
      </c>
      <c r="H22" s="186">
        <f>'10.Grain Production details'!G105</f>
        <v>0</v>
      </c>
      <c r="I22" s="186">
        <f>'10.Grain Production details'!H105</f>
        <v>0</v>
      </c>
    </row>
    <row r="23" spans="1:9" ht="15.75" customHeight="1">
      <c r="A23" s="57">
        <f>'10.Grain Production details'!A106</f>
        <v>0</v>
      </c>
      <c r="B23" s="171"/>
      <c r="C23" s="186">
        <f>'10.Grain Production details'!B106</f>
        <v>0</v>
      </c>
      <c r="D23" s="186">
        <f>'10.Grain Production details'!C106</f>
        <v>0</v>
      </c>
      <c r="E23" s="186">
        <f>'10.Grain Production details'!D106</f>
        <v>0</v>
      </c>
      <c r="F23" s="186">
        <f>'10.Grain Production details'!E106</f>
        <v>0</v>
      </c>
      <c r="G23" s="186">
        <f>'10.Grain Production details'!F106</f>
        <v>0</v>
      </c>
      <c r="H23" s="186">
        <f>'10.Grain Production details'!G106</f>
        <v>0</v>
      </c>
      <c r="I23" s="186">
        <f>'10.Grain Production details'!H106</f>
        <v>0</v>
      </c>
    </row>
    <row r="24" spans="1:9" ht="15.75" customHeight="1">
      <c r="A24" s="57">
        <f>'10.Grain Production details'!A107</f>
        <v>0</v>
      </c>
      <c r="B24" s="171"/>
      <c r="C24" s="186">
        <f>'10.Grain Production details'!B107</f>
        <v>0</v>
      </c>
      <c r="D24" s="186">
        <f>'10.Grain Production details'!C107</f>
        <v>0</v>
      </c>
      <c r="E24" s="186">
        <f>'10.Grain Production details'!D107</f>
        <v>0</v>
      </c>
      <c r="F24" s="186">
        <f>'10.Grain Production details'!E107</f>
        <v>0</v>
      </c>
      <c r="G24" s="186">
        <f>'10.Grain Production details'!F107</f>
        <v>0</v>
      </c>
      <c r="H24" s="186">
        <f>'10.Grain Production details'!G107</f>
        <v>0</v>
      </c>
      <c r="I24" s="186">
        <f>'10.Grain Production details'!H107</f>
        <v>0</v>
      </c>
    </row>
    <row r="25" spans="1:9" ht="15.75" customHeight="1">
      <c r="A25" s="57">
        <f>'10.Grain Production details'!A108</f>
        <v>0</v>
      </c>
      <c r="B25" s="171"/>
      <c r="C25" s="186">
        <f>'10.Grain Production details'!B108</f>
        <v>0</v>
      </c>
      <c r="D25" s="186">
        <f>'10.Grain Production details'!C108</f>
        <v>0</v>
      </c>
      <c r="E25" s="186">
        <f>'10.Grain Production details'!D108</f>
        <v>0</v>
      </c>
      <c r="F25" s="186">
        <f>'10.Grain Production details'!E108</f>
        <v>0</v>
      </c>
      <c r="G25" s="186">
        <f>'10.Grain Production details'!F108</f>
        <v>0</v>
      </c>
      <c r="H25" s="186">
        <f>'10.Grain Production details'!G108</f>
        <v>0</v>
      </c>
      <c r="I25" s="186">
        <f>'10.Grain Production details'!H108</f>
        <v>0</v>
      </c>
    </row>
    <row r="26" spans="1:9" ht="15.75" customHeight="1">
      <c r="A26" s="60" t="str">
        <f>'10.Grain Production details'!A33</f>
        <v>Summer</v>
      </c>
      <c r="B26" s="171"/>
      <c r="C26" s="186"/>
      <c r="D26" s="186"/>
      <c r="E26" s="186"/>
      <c r="F26" s="186"/>
      <c r="G26" s="186"/>
      <c r="H26" s="186"/>
      <c r="I26" s="186"/>
    </row>
    <row r="27" spans="1:9" ht="15.75" customHeight="1">
      <c r="A27" s="57" t="str">
        <f>'10.Grain Production details'!A109</f>
        <v>Groundnut</v>
      </c>
      <c r="B27" s="171"/>
      <c r="C27" s="186">
        <f>'10.Grain Production details'!B110</f>
        <v>0</v>
      </c>
      <c r="D27" s="186">
        <f>'10.Grain Production details'!C110</f>
        <v>0</v>
      </c>
      <c r="E27" s="186">
        <f>'10.Grain Production details'!D110</f>
        <v>0</v>
      </c>
      <c r="F27" s="186">
        <f>'10.Grain Production details'!E110</f>
        <v>0</v>
      </c>
      <c r="G27" s="186">
        <f>'10.Grain Production details'!F110</f>
        <v>0</v>
      </c>
      <c r="H27" s="186">
        <f>'10.Grain Production details'!G110</f>
        <v>0</v>
      </c>
      <c r="I27" s="186">
        <f>'10.Grain Production details'!H110</f>
        <v>0</v>
      </c>
    </row>
    <row r="28" spans="1:9" ht="15.75" customHeight="1">
      <c r="A28" s="57">
        <f>'10.Grain Production details'!A110</f>
        <v>0</v>
      </c>
      <c r="B28" s="171"/>
      <c r="C28" s="186">
        <f>'10.Grain Production details'!B111</f>
        <v>0</v>
      </c>
      <c r="D28" s="186">
        <f>'10.Grain Production details'!C111</f>
        <v>0</v>
      </c>
      <c r="E28" s="186">
        <f>'10.Grain Production details'!D111</f>
        <v>0</v>
      </c>
      <c r="F28" s="186">
        <f>'10.Grain Production details'!E111</f>
        <v>0</v>
      </c>
      <c r="G28" s="186">
        <f>'10.Grain Production details'!F111</f>
        <v>0</v>
      </c>
      <c r="H28" s="186">
        <f>'10.Grain Production details'!G111</f>
        <v>0</v>
      </c>
      <c r="I28" s="186">
        <f>'10.Grain Production details'!H111</f>
        <v>0</v>
      </c>
    </row>
    <row r="29" spans="1:9" ht="15.75" customHeight="1">
      <c r="A29" s="57">
        <f>'10.Grain Production details'!A111</f>
        <v>0</v>
      </c>
      <c r="B29" s="171"/>
      <c r="C29" s="186">
        <f>'10.Grain Production details'!B112</f>
        <v>0</v>
      </c>
      <c r="D29" s="186">
        <f>'10.Grain Production details'!C112</f>
        <v>0</v>
      </c>
      <c r="E29" s="186">
        <f>'10.Grain Production details'!D112</f>
        <v>0</v>
      </c>
      <c r="F29" s="186">
        <f>'10.Grain Production details'!E112</f>
        <v>0</v>
      </c>
      <c r="G29" s="186">
        <f>'10.Grain Production details'!F112</f>
        <v>0</v>
      </c>
      <c r="H29" s="186">
        <f>'10.Grain Production details'!G112</f>
        <v>0</v>
      </c>
      <c r="I29" s="186">
        <f>'10.Grain Production details'!H112</f>
        <v>0</v>
      </c>
    </row>
    <row r="30" spans="1:9" ht="15.75" customHeight="1">
      <c r="A30" s="57">
        <f>'10.Grain Production details'!A112</f>
        <v>0</v>
      </c>
      <c r="B30" s="171"/>
      <c r="C30" s="186">
        <f>'10.Grain Production details'!B113</f>
        <v>0</v>
      </c>
      <c r="D30" s="186">
        <f>'10.Grain Production details'!C113</f>
        <v>0</v>
      </c>
      <c r="E30" s="186">
        <f>'10.Grain Production details'!D113</f>
        <v>0</v>
      </c>
      <c r="F30" s="186">
        <f>'10.Grain Production details'!E113</f>
        <v>0</v>
      </c>
      <c r="G30" s="186">
        <f>'10.Grain Production details'!F113</f>
        <v>0</v>
      </c>
      <c r="H30" s="186">
        <f>'10.Grain Production details'!G113</f>
        <v>0</v>
      </c>
      <c r="I30" s="186">
        <f>'10.Grain Production details'!H113</f>
        <v>0</v>
      </c>
    </row>
    <row r="31" spans="1:9" ht="15.75" customHeight="1">
      <c r="A31" s="57">
        <f>'10.Grain Production details'!A113</f>
        <v>0</v>
      </c>
      <c r="B31" s="171"/>
      <c r="C31" s="186">
        <f>'10.Grain Production details'!C114</f>
        <v>0</v>
      </c>
      <c r="D31" s="186">
        <f>'10.Grain Production details'!D114</f>
        <v>0</v>
      </c>
      <c r="E31" s="186">
        <f>'10.Grain Production details'!E114</f>
        <v>0</v>
      </c>
      <c r="F31" s="186">
        <f>'10.Grain Production details'!F114</f>
        <v>0</v>
      </c>
      <c r="G31" s="186">
        <f>'10.Grain Production details'!G114</f>
        <v>0</v>
      </c>
      <c r="H31" s="186">
        <f>'10.Grain Production details'!H114</f>
        <v>0</v>
      </c>
      <c r="I31" s="186">
        <f>'10.Grain Production details'!I114</f>
        <v>0</v>
      </c>
    </row>
    <row r="32" spans="1:9" ht="15.75" customHeight="1">
      <c r="A32" s="60" t="str">
        <f>'11.F&amp;V Crop Production details'!A1:H1</f>
        <v>Fruit  &amp; Vegetables Crop Production Details</v>
      </c>
      <c r="B32" s="171"/>
      <c r="C32" s="186"/>
      <c r="D32" s="186"/>
      <c r="E32" s="186"/>
      <c r="F32" s="186"/>
      <c r="G32" s="186"/>
      <c r="H32" s="186"/>
      <c r="I32" s="186"/>
    </row>
    <row r="33" spans="1:9" ht="15.75" customHeight="1">
      <c r="A33" s="57" t="str">
        <f>'11.F&amp;V Crop Production details'!A102</f>
        <v>Onion</v>
      </c>
      <c r="B33" s="171"/>
      <c r="C33" s="186">
        <f>'11.F&amp;V Crop Production details'!B102</f>
        <v>0</v>
      </c>
      <c r="D33" s="186">
        <f>'11.F&amp;V Crop Production details'!C102</f>
        <v>0</v>
      </c>
      <c r="E33" s="186">
        <f>'11.F&amp;V Crop Production details'!D102</f>
        <v>0</v>
      </c>
      <c r="F33" s="186">
        <f>'11.F&amp;V Crop Production details'!E102</f>
        <v>0</v>
      </c>
      <c r="G33" s="186">
        <f>'11.F&amp;V Crop Production details'!F102</f>
        <v>0</v>
      </c>
      <c r="H33" s="186">
        <f>'11.F&amp;V Crop Production details'!G102</f>
        <v>0</v>
      </c>
      <c r="I33" s="186">
        <f>'11.F&amp;V Crop Production details'!H102</f>
        <v>0</v>
      </c>
    </row>
    <row r="34" spans="1:9" ht="15.75" customHeight="1">
      <c r="A34" s="57" t="str">
        <f>'11.F&amp;V Crop Production details'!A103</f>
        <v>Tomato</v>
      </c>
      <c r="B34" s="171"/>
      <c r="C34" s="186">
        <f>'11.F&amp;V Crop Production details'!B103</f>
        <v>0</v>
      </c>
      <c r="D34" s="186">
        <f>'11.F&amp;V Crop Production details'!C103</f>
        <v>0</v>
      </c>
      <c r="E34" s="186">
        <f>'11.F&amp;V Crop Production details'!D103</f>
        <v>0</v>
      </c>
      <c r="F34" s="186">
        <f>'11.F&amp;V Crop Production details'!E103</f>
        <v>0</v>
      </c>
      <c r="G34" s="186">
        <f>'11.F&amp;V Crop Production details'!F103</f>
        <v>0</v>
      </c>
      <c r="H34" s="186">
        <f>'11.F&amp;V Crop Production details'!G103</f>
        <v>0</v>
      </c>
      <c r="I34" s="186">
        <f>'11.F&amp;V Crop Production details'!H103</f>
        <v>0</v>
      </c>
    </row>
    <row r="35" spans="1:9" ht="15.75" customHeight="1">
      <c r="A35" s="57" t="str">
        <f>'11.F&amp;V Crop Production details'!A104</f>
        <v>Okra</v>
      </c>
      <c r="B35" s="171"/>
      <c r="C35" s="186">
        <f>'11.F&amp;V Crop Production details'!B104</f>
        <v>0</v>
      </c>
      <c r="D35" s="186">
        <f>'11.F&amp;V Crop Production details'!C104</f>
        <v>0</v>
      </c>
      <c r="E35" s="186">
        <f>'11.F&amp;V Crop Production details'!D104</f>
        <v>0</v>
      </c>
      <c r="F35" s="186">
        <f>'11.F&amp;V Crop Production details'!E104</f>
        <v>0</v>
      </c>
      <c r="G35" s="186">
        <f>'11.F&amp;V Crop Production details'!F104</f>
        <v>0</v>
      </c>
      <c r="H35" s="186">
        <f>'11.F&amp;V Crop Production details'!G104</f>
        <v>0</v>
      </c>
      <c r="I35" s="186">
        <f>'11.F&amp;V Crop Production details'!H104</f>
        <v>0</v>
      </c>
    </row>
    <row r="36" spans="1:9" ht="15.75" customHeight="1">
      <c r="A36" s="57" t="str">
        <f>'11.F&amp;V Crop Production details'!A105</f>
        <v>Chilli</v>
      </c>
      <c r="B36" s="171"/>
      <c r="C36" s="186">
        <f>'11.F&amp;V Crop Production details'!B105</f>
        <v>0</v>
      </c>
      <c r="D36" s="186">
        <f>'11.F&amp;V Crop Production details'!C105</f>
        <v>0</v>
      </c>
      <c r="E36" s="186">
        <f>'11.F&amp;V Crop Production details'!D105</f>
        <v>0</v>
      </c>
      <c r="F36" s="186">
        <f>'11.F&amp;V Crop Production details'!E105</f>
        <v>0</v>
      </c>
      <c r="G36" s="186">
        <f>'11.F&amp;V Crop Production details'!F105</f>
        <v>0</v>
      </c>
      <c r="H36" s="186">
        <f>'11.F&amp;V Crop Production details'!G105</f>
        <v>0</v>
      </c>
      <c r="I36" s="186">
        <f>'11.F&amp;V Crop Production details'!H105</f>
        <v>0</v>
      </c>
    </row>
    <row r="37" spans="1:9" ht="15.75" customHeight="1">
      <c r="A37" s="57" t="str">
        <f>'11.F&amp;V Crop Production details'!A106</f>
        <v>Potato</v>
      </c>
      <c r="B37" s="171"/>
      <c r="C37" s="186">
        <f>'11.F&amp;V Crop Production details'!B106</f>
        <v>0</v>
      </c>
      <c r="D37" s="186">
        <f>'11.F&amp;V Crop Production details'!C106</f>
        <v>0</v>
      </c>
      <c r="E37" s="186">
        <f>'11.F&amp;V Crop Production details'!D106</f>
        <v>0</v>
      </c>
      <c r="F37" s="186">
        <f>'11.F&amp;V Crop Production details'!E106</f>
        <v>0</v>
      </c>
      <c r="G37" s="186">
        <f>'11.F&amp;V Crop Production details'!F106</f>
        <v>0</v>
      </c>
      <c r="H37" s="186">
        <f>'11.F&amp;V Crop Production details'!G106</f>
        <v>0</v>
      </c>
      <c r="I37" s="186">
        <f>'11.F&amp;V Crop Production details'!H106</f>
        <v>0</v>
      </c>
    </row>
    <row r="38" spans="1:9" ht="15.75" customHeight="1">
      <c r="A38" s="57">
        <f>'11.F&amp;V Crop Production details'!A107</f>
        <v>0</v>
      </c>
      <c r="B38" s="171"/>
      <c r="C38" s="186">
        <f>'11.F&amp;V Crop Production details'!B107</f>
        <v>0</v>
      </c>
      <c r="D38" s="186">
        <f>'11.F&amp;V Crop Production details'!C107</f>
        <v>0</v>
      </c>
      <c r="E38" s="186">
        <f>'11.F&amp;V Crop Production details'!D107</f>
        <v>0</v>
      </c>
      <c r="F38" s="186">
        <f>'11.F&amp;V Crop Production details'!E107</f>
        <v>0</v>
      </c>
      <c r="G38" s="186">
        <f>'11.F&amp;V Crop Production details'!F107</f>
        <v>0</v>
      </c>
      <c r="H38" s="186">
        <f>'11.F&amp;V Crop Production details'!G107</f>
        <v>0</v>
      </c>
      <c r="I38" s="186">
        <f>'11.F&amp;V Crop Production details'!H107</f>
        <v>0</v>
      </c>
    </row>
    <row r="39" spans="1:9" ht="15.75" customHeight="1">
      <c r="A39" s="57">
        <f>'11.F&amp;V Crop Production details'!A108</f>
        <v>0</v>
      </c>
      <c r="B39" s="171"/>
      <c r="C39" s="186">
        <f>'11.F&amp;V Crop Production details'!B108</f>
        <v>0</v>
      </c>
      <c r="D39" s="186">
        <f>'11.F&amp;V Crop Production details'!C108</f>
        <v>0</v>
      </c>
      <c r="E39" s="186">
        <f>'11.F&amp;V Crop Production details'!D108</f>
        <v>0</v>
      </c>
      <c r="F39" s="186">
        <f>'11.F&amp;V Crop Production details'!E108</f>
        <v>0</v>
      </c>
      <c r="G39" s="186">
        <f>'11.F&amp;V Crop Production details'!F108</f>
        <v>0</v>
      </c>
      <c r="H39" s="186">
        <f>'11.F&amp;V Crop Production details'!G108</f>
        <v>0</v>
      </c>
      <c r="I39" s="186">
        <f>'11.F&amp;V Crop Production details'!H108</f>
        <v>0</v>
      </c>
    </row>
    <row r="40" spans="1:9" ht="15.75" customHeight="1">
      <c r="A40" s="57">
        <f>'11.F&amp;V Crop Production details'!A109</f>
        <v>0</v>
      </c>
      <c r="B40" s="171"/>
      <c r="C40" s="186">
        <f>'11.F&amp;V Crop Production details'!B109</f>
        <v>0</v>
      </c>
      <c r="D40" s="186">
        <f>'11.F&amp;V Crop Production details'!C109</f>
        <v>0</v>
      </c>
      <c r="E40" s="186">
        <f>'11.F&amp;V Crop Production details'!D109</f>
        <v>0</v>
      </c>
      <c r="F40" s="186">
        <f>'11.F&amp;V Crop Production details'!E109</f>
        <v>0</v>
      </c>
      <c r="G40" s="186">
        <f>'11.F&amp;V Crop Production details'!F109</f>
        <v>0</v>
      </c>
      <c r="H40" s="186">
        <f>'11.F&amp;V Crop Production details'!G109</f>
        <v>0</v>
      </c>
      <c r="I40" s="186">
        <f>'11.F&amp;V Crop Production details'!H109</f>
        <v>0</v>
      </c>
    </row>
    <row r="41" spans="1:9" ht="15.75" customHeight="1">
      <c r="A41" s="57">
        <f>'11.F&amp;V Crop Production details'!A110</f>
        <v>0</v>
      </c>
      <c r="B41" s="171"/>
      <c r="C41" s="186">
        <f>'11.F&amp;V Crop Production details'!B110</f>
        <v>0</v>
      </c>
      <c r="D41" s="186">
        <f>'11.F&amp;V Crop Production details'!C110</f>
        <v>0</v>
      </c>
      <c r="E41" s="186">
        <f>'11.F&amp;V Crop Production details'!D110</f>
        <v>0</v>
      </c>
      <c r="F41" s="186">
        <f>'11.F&amp;V Crop Production details'!E110</f>
        <v>0</v>
      </c>
      <c r="G41" s="186">
        <f>'11.F&amp;V Crop Production details'!F110</f>
        <v>0</v>
      </c>
      <c r="H41" s="186">
        <f>'11.F&amp;V Crop Production details'!G110</f>
        <v>0</v>
      </c>
      <c r="I41" s="186">
        <f>'11.F&amp;V Crop Production details'!H110</f>
        <v>0</v>
      </c>
    </row>
    <row r="42" spans="1:9" ht="15.75" customHeight="1">
      <c r="A42" s="57" t="str">
        <f>'11.F&amp;V Crop Production details'!A111</f>
        <v>Onion</v>
      </c>
      <c r="B42" s="171"/>
      <c r="C42" s="186">
        <f>'11.F&amp;V Crop Production details'!B111</f>
        <v>0</v>
      </c>
      <c r="D42" s="186">
        <f>'11.F&amp;V Crop Production details'!C111</f>
        <v>0</v>
      </c>
      <c r="E42" s="186">
        <f>'11.F&amp;V Crop Production details'!D111</f>
        <v>0</v>
      </c>
      <c r="F42" s="186">
        <f>'11.F&amp;V Crop Production details'!E111</f>
        <v>0</v>
      </c>
      <c r="G42" s="186">
        <f>'11.F&amp;V Crop Production details'!F111</f>
        <v>0</v>
      </c>
      <c r="H42" s="186">
        <f>'11.F&amp;V Crop Production details'!G111</f>
        <v>0</v>
      </c>
      <c r="I42" s="186">
        <f>'11.F&amp;V Crop Production details'!H111</f>
        <v>0</v>
      </c>
    </row>
    <row r="43" spans="1:9" ht="15.75" customHeight="1">
      <c r="A43" s="57" t="str">
        <f>'11.F&amp;V Crop Production details'!A112</f>
        <v>Tomato</v>
      </c>
      <c r="B43" s="171"/>
      <c r="C43" s="186">
        <f>'11.F&amp;V Crop Production details'!B112</f>
        <v>0</v>
      </c>
      <c r="D43" s="186">
        <f>'11.F&amp;V Crop Production details'!C112</f>
        <v>0</v>
      </c>
      <c r="E43" s="186">
        <f>'11.F&amp;V Crop Production details'!D112</f>
        <v>0</v>
      </c>
      <c r="F43" s="186">
        <f>'11.F&amp;V Crop Production details'!E112</f>
        <v>0</v>
      </c>
      <c r="G43" s="186">
        <f>'11.F&amp;V Crop Production details'!F112</f>
        <v>0</v>
      </c>
      <c r="H43" s="186">
        <f>'11.F&amp;V Crop Production details'!G112</f>
        <v>0</v>
      </c>
      <c r="I43" s="186">
        <f>'11.F&amp;V Crop Production details'!H112</f>
        <v>0</v>
      </c>
    </row>
    <row r="44" spans="1:9" ht="15.75" customHeight="1">
      <c r="A44" s="57" t="str">
        <f>'11.F&amp;V Crop Production details'!A113</f>
        <v>Okra</v>
      </c>
      <c r="B44" s="171"/>
      <c r="C44" s="186">
        <f>'11.F&amp;V Crop Production details'!B113</f>
        <v>0</v>
      </c>
      <c r="D44" s="186">
        <f>'11.F&amp;V Crop Production details'!C113</f>
        <v>0</v>
      </c>
      <c r="E44" s="186">
        <f>'11.F&amp;V Crop Production details'!D113</f>
        <v>0</v>
      </c>
      <c r="F44" s="186">
        <f>'11.F&amp;V Crop Production details'!E113</f>
        <v>0</v>
      </c>
      <c r="G44" s="186">
        <f>'11.F&amp;V Crop Production details'!F113</f>
        <v>0</v>
      </c>
      <c r="H44" s="186">
        <f>'11.F&amp;V Crop Production details'!G113</f>
        <v>0</v>
      </c>
      <c r="I44" s="186">
        <f>'11.F&amp;V Crop Production details'!H113</f>
        <v>0</v>
      </c>
    </row>
    <row r="45" spans="1:9" ht="15.75" customHeight="1">
      <c r="A45" s="57" t="str">
        <f>'11.F&amp;V Crop Production details'!A114</f>
        <v>Chilli</v>
      </c>
      <c r="B45" s="171"/>
      <c r="C45" s="186">
        <f>'11.F&amp;V Crop Production details'!B114</f>
        <v>0</v>
      </c>
      <c r="D45" s="186">
        <f>'11.F&amp;V Crop Production details'!C114</f>
        <v>0</v>
      </c>
      <c r="E45" s="186">
        <f>'11.F&amp;V Crop Production details'!D114</f>
        <v>0</v>
      </c>
      <c r="F45" s="186">
        <f>'11.F&amp;V Crop Production details'!E114</f>
        <v>0</v>
      </c>
      <c r="G45" s="186">
        <f>'11.F&amp;V Crop Production details'!F114</f>
        <v>0</v>
      </c>
      <c r="H45" s="186">
        <f>'11.F&amp;V Crop Production details'!G114</f>
        <v>0</v>
      </c>
      <c r="I45" s="186">
        <f>'11.F&amp;V Crop Production details'!H114</f>
        <v>0</v>
      </c>
    </row>
    <row r="46" spans="1:9" ht="15.75" customHeight="1">
      <c r="A46" s="57" t="str">
        <f>'11.F&amp;V Crop Production details'!A115</f>
        <v>Brinjal</v>
      </c>
      <c r="B46" s="171"/>
      <c r="C46" s="186">
        <f>'11.F&amp;V Crop Production details'!B115</f>
        <v>0</v>
      </c>
      <c r="D46" s="186">
        <f>'11.F&amp;V Crop Production details'!C115</f>
        <v>0</v>
      </c>
      <c r="E46" s="186">
        <f>'11.F&amp;V Crop Production details'!D115</f>
        <v>0</v>
      </c>
      <c r="F46" s="186">
        <f>'11.F&amp;V Crop Production details'!E115</f>
        <v>0</v>
      </c>
      <c r="G46" s="186">
        <f>'11.F&amp;V Crop Production details'!F115</f>
        <v>0</v>
      </c>
      <c r="H46" s="186">
        <f>'11.F&amp;V Crop Production details'!G115</f>
        <v>0</v>
      </c>
      <c r="I46" s="186">
        <f>'11.F&amp;V Crop Production details'!H115</f>
        <v>0</v>
      </c>
    </row>
    <row r="47" spans="1:9" ht="15.75" customHeight="1">
      <c r="A47" s="57">
        <f>'11.F&amp;V Crop Production details'!A116</f>
        <v>0</v>
      </c>
      <c r="B47" s="171"/>
      <c r="C47" s="186">
        <f>'11.F&amp;V Crop Production details'!B116</f>
        <v>0</v>
      </c>
      <c r="D47" s="186">
        <f>'11.F&amp;V Crop Production details'!C116</f>
        <v>0</v>
      </c>
      <c r="E47" s="186">
        <f>'11.F&amp;V Crop Production details'!D116</f>
        <v>0</v>
      </c>
      <c r="F47" s="186">
        <f>'11.F&amp;V Crop Production details'!E116</f>
        <v>0</v>
      </c>
      <c r="G47" s="186">
        <f>'11.F&amp;V Crop Production details'!F116</f>
        <v>0</v>
      </c>
      <c r="H47" s="186">
        <f>'11.F&amp;V Crop Production details'!G116</f>
        <v>0</v>
      </c>
      <c r="I47" s="186">
        <f>'11.F&amp;V Crop Production details'!H116</f>
        <v>0</v>
      </c>
    </row>
    <row r="48" spans="1:9" ht="15.75" customHeight="1">
      <c r="A48" s="57">
        <f>'11.F&amp;V Crop Production details'!A117</f>
        <v>0</v>
      </c>
      <c r="B48" s="171"/>
      <c r="C48" s="186">
        <f>'11.F&amp;V Crop Production details'!B117</f>
        <v>0</v>
      </c>
      <c r="D48" s="186">
        <f>'11.F&amp;V Crop Production details'!C117</f>
        <v>0</v>
      </c>
      <c r="E48" s="186">
        <f>'11.F&amp;V Crop Production details'!D117</f>
        <v>0</v>
      </c>
      <c r="F48" s="186">
        <f>'11.F&amp;V Crop Production details'!E117</f>
        <v>0</v>
      </c>
      <c r="G48" s="186">
        <f>'11.F&amp;V Crop Production details'!F117</f>
        <v>0</v>
      </c>
      <c r="H48" s="186">
        <f>'11.F&amp;V Crop Production details'!G117</f>
        <v>0</v>
      </c>
      <c r="I48" s="186">
        <f>'11.F&amp;V Crop Production details'!H117</f>
        <v>0</v>
      </c>
    </row>
    <row r="49" spans="1:9" ht="15.75" customHeight="1">
      <c r="A49" s="57">
        <f>'11.F&amp;V Crop Production details'!A118</f>
        <v>0</v>
      </c>
      <c r="B49" s="171"/>
      <c r="C49" s="186">
        <f>'11.F&amp;V Crop Production details'!B118</f>
        <v>0</v>
      </c>
      <c r="D49" s="186">
        <f>'11.F&amp;V Crop Production details'!C118</f>
        <v>0</v>
      </c>
      <c r="E49" s="186">
        <f>'11.F&amp;V Crop Production details'!D118</f>
        <v>0</v>
      </c>
      <c r="F49" s="186">
        <f>'11.F&amp;V Crop Production details'!E118</f>
        <v>0</v>
      </c>
      <c r="G49" s="186">
        <f>'11.F&amp;V Crop Production details'!F118</f>
        <v>0</v>
      </c>
      <c r="H49" s="186">
        <f>'11.F&amp;V Crop Production details'!G118</f>
        <v>0</v>
      </c>
      <c r="I49" s="186">
        <f>'11.F&amp;V Crop Production details'!H118</f>
        <v>0</v>
      </c>
    </row>
    <row r="50" spans="1:9" ht="15.75" customHeight="1">
      <c r="A50" s="57">
        <f>'11.F&amp;V Crop Production details'!A119</f>
        <v>0</v>
      </c>
      <c r="B50" s="171"/>
      <c r="C50" s="186">
        <f>'11.F&amp;V Crop Production details'!B119</f>
        <v>0</v>
      </c>
      <c r="D50" s="186">
        <f>'11.F&amp;V Crop Production details'!C119</f>
        <v>0</v>
      </c>
      <c r="E50" s="186">
        <f>'11.F&amp;V Crop Production details'!D119</f>
        <v>0</v>
      </c>
      <c r="F50" s="186">
        <f>'11.F&amp;V Crop Production details'!E119</f>
        <v>0</v>
      </c>
      <c r="G50" s="186">
        <f>'11.F&amp;V Crop Production details'!F119</f>
        <v>0</v>
      </c>
      <c r="H50" s="186">
        <f>'11.F&amp;V Crop Production details'!G119</f>
        <v>0</v>
      </c>
      <c r="I50" s="186">
        <f>'11.F&amp;V Crop Production details'!H119</f>
        <v>0</v>
      </c>
    </row>
    <row r="51" spans="1:9" ht="15.75" customHeight="1">
      <c r="A51" s="57">
        <f>'11.F&amp;V Crop Production details'!A120</f>
        <v>0</v>
      </c>
      <c r="B51" s="171"/>
      <c r="C51" s="186">
        <f>'11.F&amp;V Crop Production details'!B120</f>
        <v>0</v>
      </c>
      <c r="D51" s="186">
        <f>'11.F&amp;V Crop Production details'!C120</f>
        <v>0</v>
      </c>
      <c r="E51" s="186">
        <f>'11.F&amp;V Crop Production details'!D120</f>
        <v>0</v>
      </c>
      <c r="F51" s="186">
        <f>'11.F&amp;V Crop Production details'!E120</f>
        <v>0</v>
      </c>
      <c r="G51" s="186">
        <f>'11.F&amp;V Crop Production details'!F120</f>
        <v>0</v>
      </c>
      <c r="H51" s="186">
        <f>'11.F&amp;V Crop Production details'!G120</f>
        <v>0</v>
      </c>
      <c r="I51" s="186">
        <f>'11.F&amp;V Crop Production details'!H120</f>
        <v>0</v>
      </c>
    </row>
    <row r="52" spans="1:9" ht="15.75" customHeight="1">
      <c r="A52" s="57">
        <f>'11.F&amp;V Crop Production details'!A121</f>
        <v>0</v>
      </c>
      <c r="B52" s="171"/>
      <c r="C52" s="186">
        <f>'11.F&amp;V Crop Production details'!B121</f>
        <v>0</v>
      </c>
      <c r="D52" s="186">
        <f>'11.F&amp;V Crop Production details'!C121</f>
        <v>0</v>
      </c>
      <c r="E52" s="186">
        <f>'11.F&amp;V Crop Production details'!D121</f>
        <v>0</v>
      </c>
      <c r="F52" s="186">
        <f>'11.F&amp;V Crop Production details'!E121</f>
        <v>0</v>
      </c>
      <c r="G52" s="186">
        <f>'11.F&amp;V Crop Production details'!F121</f>
        <v>0</v>
      </c>
      <c r="H52" s="186">
        <f>'11.F&amp;V Crop Production details'!G121</f>
        <v>0</v>
      </c>
      <c r="I52" s="186">
        <f>'11.F&amp;V Crop Production details'!H121</f>
        <v>0</v>
      </c>
    </row>
    <row r="53" spans="1:9" ht="15.75" customHeight="1">
      <c r="A53" s="57">
        <f>'11.F&amp;V Crop Production details'!A122</f>
        <v>0</v>
      </c>
      <c r="B53" s="171"/>
      <c r="C53" s="186">
        <f>'11.F&amp;V Crop Production details'!B122</f>
        <v>0</v>
      </c>
      <c r="D53" s="186">
        <f>'11.F&amp;V Crop Production details'!C122</f>
        <v>0</v>
      </c>
      <c r="E53" s="186">
        <f>'11.F&amp;V Crop Production details'!D122</f>
        <v>0</v>
      </c>
      <c r="F53" s="186">
        <f>'11.F&amp;V Crop Production details'!E122</f>
        <v>0</v>
      </c>
      <c r="G53" s="186">
        <f>'11.F&amp;V Crop Production details'!F122</f>
        <v>0</v>
      </c>
      <c r="H53" s="186">
        <f>'11.F&amp;V Crop Production details'!G122</f>
        <v>0</v>
      </c>
      <c r="I53" s="186">
        <f>'11.F&amp;V Crop Production details'!H122</f>
        <v>0</v>
      </c>
    </row>
    <row r="54" spans="1:9" ht="15.75" customHeight="1">
      <c r="A54" s="57" t="str">
        <f>'11.F&amp;V Crop Production details'!A123</f>
        <v>Pomegranate</v>
      </c>
      <c r="B54" s="171"/>
      <c r="C54" s="186">
        <f>'11.F&amp;V Crop Production details'!B123</f>
        <v>0</v>
      </c>
      <c r="D54" s="186">
        <f>'11.F&amp;V Crop Production details'!C123</f>
        <v>0</v>
      </c>
      <c r="E54" s="186">
        <f>'11.F&amp;V Crop Production details'!D123</f>
        <v>0</v>
      </c>
      <c r="F54" s="186">
        <f>'11.F&amp;V Crop Production details'!E123</f>
        <v>0</v>
      </c>
      <c r="G54" s="186">
        <f>'11.F&amp;V Crop Production details'!F123</f>
        <v>0</v>
      </c>
      <c r="H54" s="186">
        <f>'11.F&amp;V Crop Production details'!G123</f>
        <v>0</v>
      </c>
      <c r="I54" s="186">
        <f>'11.F&amp;V Crop Production details'!H123</f>
        <v>0</v>
      </c>
    </row>
    <row r="55" spans="1:9" ht="15.75" customHeight="1">
      <c r="A55" s="57" t="str">
        <f>'11.F&amp;V Crop Production details'!A124</f>
        <v>Custard Apple</v>
      </c>
      <c r="B55" s="171"/>
      <c r="C55" s="186">
        <f>'11.F&amp;V Crop Production details'!B124</f>
        <v>0</v>
      </c>
      <c r="D55" s="186">
        <f>'11.F&amp;V Crop Production details'!C124</f>
        <v>0</v>
      </c>
      <c r="E55" s="186">
        <f>'11.F&amp;V Crop Production details'!D124</f>
        <v>0</v>
      </c>
      <c r="F55" s="186">
        <f>'11.F&amp;V Crop Production details'!E124</f>
        <v>0</v>
      </c>
      <c r="G55" s="186">
        <f>'11.F&amp;V Crop Production details'!F124</f>
        <v>0</v>
      </c>
      <c r="H55" s="186">
        <f>'11.F&amp;V Crop Production details'!G124</f>
        <v>0</v>
      </c>
      <c r="I55" s="186">
        <f>'11.F&amp;V Crop Production details'!H124</f>
        <v>0</v>
      </c>
    </row>
    <row r="56" spans="1:9" ht="15.75" customHeight="1">
      <c r="A56" s="57" t="str">
        <f>'11.F&amp;V Crop Production details'!A125</f>
        <v>Guava</v>
      </c>
      <c r="B56" s="171"/>
      <c r="C56" s="186">
        <f>'11.F&amp;V Crop Production details'!B125</f>
        <v>0</v>
      </c>
      <c r="D56" s="186">
        <f>'11.F&amp;V Crop Production details'!C125</f>
        <v>0</v>
      </c>
      <c r="E56" s="186">
        <f>'11.F&amp;V Crop Production details'!D125</f>
        <v>0</v>
      </c>
      <c r="F56" s="186">
        <f>'11.F&amp;V Crop Production details'!E125</f>
        <v>0</v>
      </c>
      <c r="G56" s="186">
        <f>'11.F&amp;V Crop Production details'!F125</f>
        <v>0</v>
      </c>
      <c r="H56" s="186">
        <f>'11.F&amp;V Crop Production details'!G125</f>
        <v>0</v>
      </c>
      <c r="I56" s="186">
        <f>'11.F&amp;V Crop Production details'!H125</f>
        <v>0</v>
      </c>
    </row>
    <row r="57" spans="1:9" ht="15.75" customHeight="1">
      <c r="A57" s="57" t="str">
        <f>'11.F&amp;V Crop Production details'!A126</f>
        <v>Citrus</v>
      </c>
      <c r="B57" s="171"/>
      <c r="C57" s="186">
        <f>'11.F&amp;V Crop Production details'!B126</f>
        <v>0</v>
      </c>
      <c r="D57" s="186">
        <f>'11.F&amp;V Crop Production details'!C126</f>
        <v>0</v>
      </c>
      <c r="E57" s="186">
        <f>'11.F&amp;V Crop Production details'!D126</f>
        <v>0</v>
      </c>
      <c r="F57" s="186">
        <f>'11.F&amp;V Crop Production details'!E126</f>
        <v>0</v>
      </c>
      <c r="G57" s="186">
        <f>'11.F&amp;V Crop Production details'!F126</f>
        <v>0</v>
      </c>
      <c r="H57" s="186">
        <f>'11.F&amp;V Crop Production details'!G126</f>
        <v>0</v>
      </c>
      <c r="I57" s="186">
        <f>'11.F&amp;V Crop Production details'!H126</f>
        <v>0</v>
      </c>
    </row>
    <row r="58" spans="1:9" ht="15.75" customHeight="1">
      <c r="A58" s="57"/>
      <c r="B58" s="171"/>
      <c r="C58" s="171"/>
      <c r="D58" s="171"/>
      <c r="E58" s="171"/>
      <c r="F58" s="171"/>
      <c r="G58" s="171"/>
      <c r="H58" s="171"/>
      <c r="I58" s="171"/>
    </row>
    <row r="59" spans="1:9" ht="15.75" customHeight="1">
      <c r="A59" s="60" t="s">
        <v>667</v>
      </c>
      <c r="B59" s="57"/>
      <c r="C59" s="57"/>
      <c r="D59" s="57"/>
      <c r="E59" s="57"/>
      <c r="F59" s="57"/>
      <c r="G59" s="57"/>
      <c r="H59" s="57"/>
      <c r="I59" s="57"/>
    </row>
    <row r="60" spans="1:9" ht="15.75" customHeight="1">
      <c r="A60" s="60" t="s">
        <v>668</v>
      </c>
      <c r="B60" s="57"/>
      <c r="C60" s="57"/>
      <c r="D60" s="57"/>
      <c r="E60" s="57"/>
      <c r="F60" s="57"/>
      <c r="G60" s="57"/>
      <c r="H60" s="57"/>
      <c r="I60" s="57"/>
    </row>
    <row r="61" spans="1:9" ht="15.75" customHeight="1">
      <c r="A61" s="60" t="str">
        <f t="shared" ref="A61:A110" si="0">A8</f>
        <v>Kharif Crops</v>
      </c>
      <c r="B61" s="57"/>
      <c r="C61" s="57"/>
      <c r="D61" s="57"/>
      <c r="E61" s="57"/>
      <c r="F61" s="57"/>
      <c r="G61" s="57"/>
      <c r="H61" s="57"/>
      <c r="I61" s="57"/>
    </row>
    <row r="62" spans="1:9" ht="15.75" customHeight="1">
      <c r="A62" s="57" t="str">
        <f t="shared" si="0"/>
        <v>Soybean</v>
      </c>
      <c r="B62" s="41">
        <v>40</v>
      </c>
      <c r="C62" s="171">
        <f t="shared" ref="C62:I62" si="1">$B62*C9</f>
        <v>0</v>
      </c>
      <c r="D62" s="171">
        <f t="shared" si="1"/>
        <v>0</v>
      </c>
      <c r="E62" s="171">
        <f t="shared" si="1"/>
        <v>0</v>
      </c>
      <c r="F62" s="171">
        <f t="shared" si="1"/>
        <v>0</v>
      </c>
      <c r="G62" s="171">
        <f t="shared" si="1"/>
        <v>0</v>
      </c>
      <c r="H62" s="171">
        <f t="shared" si="1"/>
        <v>0</v>
      </c>
      <c r="I62" s="171">
        <f t="shared" si="1"/>
        <v>0</v>
      </c>
    </row>
    <row r="63" spans="1:9" ht="15.75" customHeight="1">
      <c r="A63" s="57" t="str">
        <f t="shared" si="0"/>
        <v>Red Gram/Tur</v>
      </c>
      <c r="B63" s="41">
        <v>5</v>
      </c>
      <c r="C63" s="171">
        <f t="shared" ref="C63:C69" si="2">$B63*C10</f>
        <v>0</v>
      </c>
      <c r="D63" s="171">
        <f t="shared" ref="D63:I63" si="3">$B$63*D10</f>
        <v>0</v>
      </c>
      <c r="E63" s="171">
        <f t="shared" si="3"/>
        <v>0</v>
      </c>
      <c r="F63" s="171">
        <f t="shared" si="3"/>
        <v>0</v>
      </c>
      <c r="G63" s="171">
        <f t="shared" si="3"/>
        <v>0</v>
      </c>
      <c r="H63" s="171">
        <f t="shared" si="3"/>
        <v>0</v>
      </c>
      <c r="I63" s="171">
        <f t="shared" si="3"/>
        <v>0</v>
      </c>
    </row>
    <row r="64" spans="1:9" ht="15.75" customHeight="1">
      <c r="A64" s="57" t="str">
        <f t="shared" si="0"/>
        <v>Paddy/Rice</v>
      </c>
      <c r="B64" s="41">
        <v>15</v>
      </c>
      <c r="C64" s="171">
        <f t="shared" si="2"/>
        <v>0</v>
      </c>
      <c r="D64" s="171">
        <f t="shared" ref="D64:I64" si="4">$B$64*D11</f>
        <v>0</v>
      </c>
      <c r="E64" s="171">
        <f t="shared" si="4"/>
        <v>0</v>
      </c>
      <c r="F64" s="171">
        <f t="shared" si="4"/>
        <v>0</v>
      </c>
      <c r="G64" s="171">
        <f t="shared" si="4"/>
        <v>0</v>
      </c>
      <c r="H64" s="171">
        <f t="shared" si="4"/>
        <v>0</v>
      </c>
      <c r="I64" s="171">
        <f t="shared" si="4"/>
        <v>0</v>
      </c>
    </row>
    <row r="65" spans="1:9" ht="15.75" customHeight="1">
      <c r="A65" s="57" t="str">
        <f t="shared" si="0"/>
        <v>Green Gram/ Moong</v>
      </c>
      <c r="B65" s="41">
        <v>15</v>
      </c>
      <c r="C65" s="171">
        <f t="shared" si="2"/>
        <v>0</v>
      </c>
      <c r="D65" s="171">
        <f t="shared" ref="D65:I65" si="5">$B65*D12</f>
        <v>0</v>
      </c>
      <c r="E65" s="171">
        <f t="shared" si="5"/>
        <v>0</v>
      </c>
      <c r="F65" s="171">
        <f t="shared" si="5"/>
        <v>0</v>
      </c>
      <c r="G65" s="171">
        <f t="shared" si="5"/>
        <v>0</v>
      </c>
      <c r="H65" s="171">
        <f t="shared" si="5"/>
        <v>0</v>
      </c>
      <c r="I65" s="171">
        <f t="shared" si="5"/>
        <v>0</v>
      </c>
    </row>
    <row r="66" spans="1:9" ht="15.75" customHeight="1">
      <c r="A66" s="57" t="str">
        <f t="shared" si="0"/>
        <v>Maize</v>
      </c>
      <c r="B66" s="41">
        <v>25</v>
      </c>
      <c r="C66" s="171">
        <f t="shared" si="2"/>
        <v>0</v>
      </c>
      <c r="D66" s="171">
        <f t="shared" ref="D66:I66" si="6">$B66*D13</f>
        <v>0</v>
      </c>
      <c r="E66" s="171">
        <f t="shared" si="6"/>
        <v>0</v>
      </c>
      <c r="F66" s="171">
        <f t="shared" si="6"/>
        <v>0</v>
      </c>
      <c r="G66" s="171">
        <f t="shared" si="6"/>
        <v>0</v>
      </c>
      <c r="H66" s="171">
        <f t="shared" si="6"/>
        <v>0</v>
      </c>
      <c r="I66" s="171">
        <f t="shared" si="6"/>
        <v>0</v>
      </c>
    </row>
    <row r="67" spans="1:9" ht="15.75" customHeight="1">
      <c r="A67" s="57" t="str">
        <f t="shared" si="0"/>
        <v>Black Gram/Udid</v>
      </c>
      <c r="B67" s="41">
        <v>15</v>
      </c>
      <c r="C67" s="171">
        <f t="shared" si="2"/>
        <v>0</v>
      </c>
      <c r="D67" s="171">
        <f t="shared" ref="D67:I67" si="7">$B67*D14</f>
        <v>0</v>
      </c>
      <c r="E67" s="171">
        <f t="shared" si="7"/>
        <v>0</v>
      </c>
      <c r="F67" s="171">
        <f t="shared" si="7"/>
        <v>0</v>
      </c>
      <c r="G67" s="171">
        <f t="shared" si="7"/>
        <v>0</v>
      </c>
      <c r="H67" s="171">
        <f t="shared" si="7"/>
        <v>0</v>
      </c>
      <c r="I67" s="171">
        <f t="shared" si="7"/>
        <v>0</v>
      </c>
    </row>
    <row r="68" spans="1:9" ht="15.75" customHeight="1">
      <c r="A68" s="57" t="str">
        <f t="shared" si="0"/>
        <v>Bajra</v>
      </c>
      <c r="B68" s="41">
        <v>5</v>
      </c>
      <c r="C68" s="171">
        <f t="shared" si="2"/>
        <v>0</v>
      </c>
      <c r="D68" s="171">
        <f t="shared" ref="D68:I68" si="8">$B68*D15</f>
        <v>0</v>
      </c>
      <c r="E68" s="171">
        <f t="shared" si="8"/>
        <v>0</v>
      </c>
      <c r="F68" s="171">
        <f t="shared" si="8"/>
        <v>0</v>
      </c>
      <c r="G68" s="171">
        <f t="shared" si="8"/>
        <v>0</v>
      </c>
      <c r="H68" s="171">
        <f t="shared" si="8"/>
        <v>0</v>
      </c>
      <c r="I68" s="171">
        <f t="shared" si="8"/>
        <v>0</v>
      </c>
    </row>
    <row r="69" spans="1:9" ht="15.75" customHeight="1">
      <c r="A69" s="57" t="str">
        <f t="shared" si="0"/>
        <v>Jawar</v>
      </c>
      <c r="B69" s="41">
        <v>5</v>
      </c>
      <c r="C69" s="171">
        <f t="shared" si="2"/>
        <v>0</v>
      </c>
      <c r="D69" s="171">
        <f t="shared" ref="D69:I69" si="9">$B69*D16</f>
        <v>0</v>
      </c>
      <c r="E69" s="171">
        <f t="shared" si="9"/>
        <v>0</v>
      </c>
      <c r="F69" s="171">
        <f t="shared" si="9"/>
        <v>0</v>
      </c>
      <c r="G69" s="171">
        <f t="shared" si="9"/>
        <v>0</v>
      </c>
      <c r="H69" s="171">
        <f t="shared" si="9"/>
        <v>0</v>
      </c>
      <c r="I69" s="171">
        <f t="shared" si="9"/>
        <v>0</v>
      </c>
    </row>
    <row r="70" spans="1:9" ht="15.75" customHeight="1">
      <c r="A70" s="60" t="str">
        <f t="shared" si="0"/>
        <v>Rabi Crop</v>
      </c>
      <c r="B70" s="41"/>
      <c r="C70" s="171"/>
      <c r="D70" s="171"/>
      <c r="E70" s="171"/>
      <c r="F70" s="171"/>
      <c r="G70" s="171"/>
      <c r="H70" s="171"/>
      <c r="I70" s="171"/>
    </row>
    <row r="71" spans="1:9" ht="15.75" customHeight="1">
      <c r="A71" s="57" t="str">
        <f t="shared" si="0"/>
        <v>Wheat</v>
      </c>
      <c r="B71" s="41">
        <v>20</v>
      </c>
      <c r="C71" s="171">
        <f t="shared" ref="C71:I71" si="10">$B71*C18</f>
        <v>0</v>
      </c>
      <c r="D71" s="171">
        <f t="shared" si="10"/>
        <v>0</v>
      </c>
      <c r="E71" s="171">
        <f t="shared" si="10"/>
        <v>0</v>
      </c>
      <c r="F71" s="171">
        <f t="shared" si="10"/>
        <v>0</v>
      </c>
      <c r="G71" s="171">
        <f t="shared" si="10"/>
        <v>0</v>
      </c>
      <c r="H71" s="171">
        <f t="shared" si="10"/>
        <v>0</v>
      </c>
      <c r="I71" s="171">
        <f t="shared" si="10"/>
        <v>0</v>
      </c>
    </row>
    <row r="72" spans="1:9" ht="15.75" customHeight="1">
      <c r="A72" s="57" t="str">
        <f t="shared" si="0"/>
        <v>Bengal Gram/Channa</v>
      </c>
      <c r="B72" s="41">
        <v>25</v>
      </c>
      <c r="C72" s="171">
        <f t="shared" ref="C72:I72" si="11">$B72*C19</f>
        <v>0</v>
      </c>
      <c r="D72" s="171">
        <f t="shared" si="11"/>
        <v>0</v>
      </c>
      <c r="E72" s="171">
        <f t="shared" si="11"/>
        <v>0</v>
      </c>
      <c r="F72" s="171">
        <f t="shared" si="11"/>
        <v>0</v>
      </c>
      <c r="G72" s="171">
        <f t="shared" si="11"/>
        <v>0</v>
      </c>
      <c r="H72" s="171">
        <f t="shared" si="11"/>
        <v>0</v>
      </c>
      <c r="I72" s="171">
        <f t="shared" si="11"/>
        <v>0</v>
      </c>
    </row>
    <row r="73" spans="1:9" ht="15.75" customHeight="1">
      <c r="A73" s="57" t="str">
        <f t="shared" si="0"/>
        <v>Jawar</v>
      </c>
      <c r="B73" s="41">
        <v>5</v>
      </c>
      <c r="C73" s="171">
        <f t="shared" ref="C73:I73" si="12">$B73*C20</f>
        <v>0</v>
      </c>
      <c r="D73" s="171">
        <f t="shared" si="12"/>
        <v>0</v>
      </c>
      <c r="E73" s="171">
        <f t="shared" si="12"/>
        <v>0</v>
      </c>
      <c r="F73" s="171">
        <f t="shared" si="12"/>
        <v>0</v>
      </c>
      <c r="G73" s="171">
        <f t="shared" si="12"/>
        <v>0</v>
      </c>
      <c r="H73" s="171">
        <f t="shared" si="12"/>
        <v>0</v>
      </c>
      <c r="I73" s="171">
        <f t="shared" si="12"/>
        <v>0</v>
      </c>
    </row>
    <row r="74" spans="1:9" ht="15.75" customHeight="1">
      <c r="A74" s="57" t="str">
        <f t="shared" si="0"/>
        <v>Maize</v>
      </c>
      <c r="B74" s="41">
        <v>20</v>
      </c>
      <c r="C74" s="171">
        <f t="shared" ref="C74:I74" si="13">$B74*C21</f>
        <v>0</v>
      </c>
      <c r="D74" s="171">
        <f t="shared" si="13"/>
        <v>0</v>
      </c>
      <c r="E74" s="171">
        <f t="shared" si="13"/>
        <v>0</v>
      </c>
      <c r="F74" s="171">
        <f t="shared" si="13"/>
        <v>0</v>
      </c>
      <c r="G74" s="171">
        <f t="shared" si="13"/>
        <v>0</v>
      </c>
      <c r="H74" s="171">
        <f t="shared" si="13"/>
        <v>0</v>
      </c>
      <c r="I74" s="171">
        <f t="shared" si="13"/>
        <v>0</v>
      </c>
    </row>
    <row r="75" spans="1:9" ht="15.75" customHeight="1">
      <c r="A75" s="57" t="str">
        <f t="shared" si="0"/>
        <v>Safflower</v>
      </c>
      <c r="B75" s="41"/>
      <c r="C75" s="171">
        <f t="shared" ref="C75:I75" si="14">$B75*C22</f>
        <v>0</v>
      </c>
      <c r="D75" s="171">
        <f t="shared" si="14"/>
        <v>0</v>
      </c>
      <c r="E75" s="171">
        <f t="shared" si="14"/>
        <v>0</v>
      </c>
      <c r="F75" s="171">
        <f t="shared" si="14"/>
        <v>0</v>
      </c>
      <c r="G75" s="171">
        <f t="shared" si="14"/>
        <v>0</v>
      </c>
      <c r="H75" s="171">
        <f t="shared" si="14"/>
        <v>0</v>
      </c>
      <c r="I75" s="171">
        <f t="shared" si="14"/>
        <v>0</v>
      </c>
    </row>
    <row r="76" spans="1:9" ht="15.75" customHeight="1">
      <c r="A76" s="57">
        <f t="shared" si="0"/>
        <v>0</v>
      </c>
      <c r="B76" s="41"/>
      <c r="C76" s="171">
        <f t="shared" ref="C76:I76" si="15">$B76*C23</f>
        <v>0</v>
      </c>
      <c r="D76" s="171">
        <f t="shared" si="15"/>
        <v>0</v>
      </c>
      <c r="E76" s="171">
        <f t="shared" si="15"/>
        <v>0</v>
      </c>
      <c r="F76" s="171">
        <f t="shared" si="15"/>
        <v>0</v>
      </c>
      <c r="G76" s="171">
        <f t="shared" si="15"/>
        <v>0</v>
      </c>
      <c r="H76" s="171">
        <f t="shared" si="15"/>
        <v>0</v>
      </c>
      <c r="I76" s="171">
        <f t="shared" si="15"/>
        <v>0</v>
      </c>
    </row>
    <row r="77" spans="1:9" ht="15.75" customHeight="1">
      <c r="A77" s="57">
        <f t="shared" si="0"/>
        <v>0</v>
      </c>
      <c r="B77" s="41"/>
      <c r="C77" s="171">
        <f t="shared" ref="C77:I77" si="16">$B77*C24</f>
        <v>0</v>
      </c>
      <c r="D77" s="171">
        <f t="shared" si="16"/>
        <v>0</v>
      </c>
      <c r="E77" s="171">
        <f t="shared" si="16"/>
        <v>0</v>
      </c>
      <c r="F77" s="171">
        <f t="shared" si="16"/>
        <v>0</v>
      </c>
      <c r="G77" s="171">
        <f t="shared" si="16"/>
        <v>0</v>
      </c>
      <c r="H77" s="171">
        <f t="shared" si="16"/>
        <v>0</v>
      </c>
      <c r="I77" s="171">
        <f t="shared" si="16"/>
        <v>0</v>
      </c>
    </row>
    <row r="78" spans="1:9" ht="15.75" customHeight="1">
      <c r="A78" s="57">
        <f t="shared" si="0"/>
        <v>0</v>
      </c>
      <c r="B78" s="41"/>
      <c r="C78" s="171">
        <f t="shared" ref="C78:I78" si="17">$B78*C25</f>
        <v>0</v>
      </c>
      <c r="D78" s="171">
        <f t="shared" si="17"/>
        <v>0</v>
      </c>
      <c r="E78" s="171">
        <f t="shared" si="17"/>
        <v>0</v>
      </c>
      <c r="F78" s="171">
        <f t="shared" si="17"/>
        <v>0</v>
      </c>
      <c r="G78" s="171">
        <f t="shared" si="17"/>
        <v>0</v>
      </c>
      <c r="H78" s="171">
        <f t="shared" si="17"/>
        <v>0</v>
      </c>
      <c r="I78" s="171">
        <f t="shared" si="17"/>
        <v>0</v>
      </c>
    </row>
    <row r="79" spans="1:9" ht="15.75" customHeight="1">
      <c r="A79" s="60" t="str">
        <f t="shared" si="0"/>
        <v>Summer</v>
      </c>
      <c r="B79" s="41"/>
      <c r="C79" s="171"/>
      <c r="D79" s="171"/>
      <c r="E79" s="171"/>
      <c r="F79" s="171"/>
      <c r="G79" s="171"/>
      <c r="H79" s="171"/>
      <c r="I79" s="171"/>
    </row>
    <row r="80" spans="1:9" ht="15.75" customHeight="1">
      <c r="A80" s="57" t="str">
        <f t="shared" si="0"/>
        <v>Groundnut</v>
      </c>
      <c r="B80" s="41"/>
      <c r="C80" s="171">
        <f t="shared" ref="C80:I80" si="18">$B80*C27</f>
        <v>0</v>
      </c>
      <c r="D80" s="171">
        <f t="shared" si="18"/>
        <v>0</v>
      </c>
      <c r="E80" s="171">
        <f t="shared" si="18"/>
        <v>0</v>
      </c>
      <c r="F80" s="171">
        <f t="shared" si="18"/>
        <v>0</v>
      </c>
      <c r="G80" s="171">
        <f t="shared" si="18"/>
        <v>0</v>
      </c>
      <c r="H80" s="171">
        <f t="shared" si="18"/>
        <v>0</v>
      </c>
      <c r="I80" s="171">
        <f t="shared" si="18"/>
        <v>0</v>
      </c>
    </row>
    <row r="81" spans="1:9" ht="15.75" customHeight="1">
      <c r="A81" s="57">
        <f t="shared" si="0"/>
        <v>0</v>
      </c>
      <c r="B81" s="41"/>
      <c r="C81" s="171">
        <f t="shared" ref="C81:I81" si="19">$B81*C28</f>
        <v>0</v>
      </c>
      <c r="D81" s="171">
        <f t="shared" si="19"/>
        <v>0</v>
      </c>
      <c r="E81" s="171">
        <f t="shared" si="19"/>
        <v>0</v>
      </c>
      <c r="F81" s="171">
        <f t="shared" si="19"/>
        <v>0</v>
      </c>
      <c r="G81" s="171">
        <f t="shared" si="19"/>
        <v>0</v>
      </c>
      <c r="H81" s="171">
        <f t="shared" si="19"/>
        <v>0</v>
      </c>
      <c r="I81" s="171">
        <f t="shared" si="19"/>
        <v>0</v>
      </c>
    </row>
    <row r="82" spans="1:9" ht="15.75" customHeight="1">
      <c r="A82" s="57">
        <f t="shared" si="0"/>
        <v>0</v>
      </c>
      <c r="B82" s="41"/>
      <c r="C82" s="171">
        <f t="shared" ref="C82:I82" si="20">$B82*C29</f>
        <v>0</v>
      </c>
      <c r="D82" s="171">
        <f t="shared" si="20"/>
        <v>0</v>
      </c>
      <c r="E82" s="171">
        <f t="shared" si="20"/>
        <v>0</v>
      </c>
      <c r="F82" s="171">
        <f t="shared" si="20"/>
        <v>0</v>
      </c>
      <c r="G82" s="171">
        <f t="shared" si="20"/>
        <v>0</v>
      </c>
      <c r="H82" s="171">
        <f t="shared" si="20"/>
        <v>0</v>
      </c>
      <c r="I82" s="171">
        <f t="shared" si="20"/>
        <v>0</v>
      </c>
    </row>
    <row r="83" spans="1:9" ht="15.75" customHeight="1">
      <c r="A83" s="57">
        <f t="shared" si="0"/>
        <v>0</v>
      </c>
      <c r="B83" s="41"/>
      <c r="C83" s="171">
        <f t="shared" ref="C83:I83" si="21">$B83*C30</f>
        <v>0</v>
      </c>
      <c r="D83" s="171">
        <f t="shared" si="21"/>
        <v>0</v>
      </c>
      <c r="E83" s="171">
        <f t="shared" si="21"/>
        <v>0</v>
      </c>
      <c r="F83" s="171">
        <f t="shared" si="21"/>
        <v>0</v>
      </c>
      <c r="G83" s="171">
        <f t="shared" si="21"/>
        <v>0</v>
      </c>
      <c r="H83" s="171">
        <f t="shared" si="21"/>
        <v>0</v>
      </c>
      <c r="I83" s="171">
        <f t="shared" si="21"/>
        <v>0</v>
      </c>
    </row>
    <row r="84" spans="1:9" ht="15.75" customHeight="1">
      <c r="A84" s="57">
        <f t="shared" si="0"/>
        <v>0</v>
      </c>
      <c r="B84" s="41"/>
      <c r="C84" s="171">
        <f t="shared" ref="C84:I84" si="22">$B84*C31</f>
        <v>0</v>
      </c>
      <c r="D84" s="171">
        <f t="shared" si="22"/>
        <v>0</v>
      </c>
      <c r="E84" s="171">
        <f t="shared" si="22"/>
        <v>0</v>
      </c>
      <c r="F84" s="171">
        <f t="shared" si="22"/>
        <v>0</v>
      </c>
      <c r="G84" s="171">
        <f t="shared" si="22"/>
        <v>0</v>
      </c>
      <c r="H84" s="171">
        <f t="shared" si="22"/>
        <v>0</v>
      </c>
      <c r="I84" s="171">
        <f t="shared" si="22"/>
        <v>0</v>
      </c>
    </row>
    <row r="85" spans="1:9" ht="15.75" customHeight="1">
      <c r="A85" s="60" t="str">
        <f t="shared" si="0"/>
        <v>Fruit  &amp; Vegetables Crop Production Details</v>
      </c>
      <c r="B85" s="41"/>
      <c r="C85" s="171"/>
      <c r="D85" s="171"/>
      <c r="E85" s="171"/>
      <c r="F85" s="171"/>
      <c r="G85" s="171"/>
      <c r="H85" s="171"/>
      <c r="I85" s="171"/>
    </row>
    <row r="86" spans="1:9" ht="15.75" customHeight="1">
      <c r="A86" s="57" t="str">
        <f t="shared" si="0"/>
        <v>Onion</v>
      </c>
      <c r="B86" s="41"/>
      <c r="C86" s="171">
        <f t="shared" ref="C86:I86" si="23">$B86*C33</f>
        <v>0</v>
      </c>
      <c r="D86" s="171">
        <f t="shared" si="23"/>
        <v>0</v>
      </c>
      <c r="E86" s="171">
        <f t="shared" si="23"/>
        <v>0</v>
      </c>
      <c r="F86" s="171">
        <f t="shared" si="23"/>
        <v>0</v>
      </c>
      <c r="G86" s="171">
        <f t="shared" si="23"/>
        <v>0</v>
      </c>
      <c r="H86" s="171">
        <f t="shared" si="23"/>
        <v>0</v>
      </c>
      <c r="I86" s="171">
        <f t="shared" si="23"/>
        <v>0</v>
      </c>
    </row>
    <row r="87" spans="1:9" ht="15.75" customHeight="1">
      <c r="A87" s="57" t="str">
        <f t="shared" si="0"/>
        <v>Tomato</v>
      </c>
      <c r="B87" s="41"/>
      <c r="C87" s="171">
        <f t="shared" ref="C87:I87" si="24">$B87*C34</f>
        <v>0</v>
      </c>
      <c r="D87" s="171">
        <f t="shared" si="24"/>
        <v>0</v>
      </c>
      <c r="E87" s="171">
        <f t="shared" si="24"/>
        <v>0</v>
      </c>
      <c r="F87" s="171">
        <f t="shared" si="24"/>
        <v>0</v>
      </c>
      <c r="G87" s="171">
        <f t="shared" si="24"/>
        <v>0</v>
      </c>
      <c r="H87" s="171">
        <f t="shared" si="24"/>
        <v>0</v>
      </c>
      <c r="I87" s="171">
        <f t="shared" si="24"/>
        <v>0</v>
      </c>
    </row>
    <row r="88" spans="1:9" ht="15.75" customHeight="1">
      <c r="A88" s="57" t="str">
        <f t="shared" si="0"/>
        <v>Okra</v>
      </c>
      <c r="B88" s="41"/>
      <c r="C88" s="171">
        <f t="shared" ref="C88:I88" si="25">$B88*C35</f>
        <v>0</v>
      </c>
      <c r="D88" s="171">
        <f t="shared" si="25"/>
        <v>0</v>
      </c>
      <c r="E88" s="171">
        <f t="shared" si="25"/>
        <v>0</v>
      </c>
      <c r="F88" s="171">
        <f t="shared" si="25"/>
        <v>0</v>
      </c>
      <c r="G88" s="171">
        <f t="shared" si="25"/>
        <v>0</v>
      </c>
      <c r="H88" s="171">
        <f t="shared" si="25"/>
        <v>0</v>
      </c>
      <c r="I88" s="171">
        <f t="shared" si="25"/>
        <v>0</v>
      </c>
    </row>
    <row r="89" spans="1:9" ht="15.75" customHeight="1">
      <c r="A89" s="57" t="str">
        <f t="shared" si="0"/>
        <v>Chilli</v>
      </c>
      <c r="B89" s="41"/>
      <c r="C89" s="171">
        <f t="shared" ref="C89:I89" si="26">$B89*C36</f>
        <v>0</v>
      </c>
      <c r="D89" s="171">
        <f t="shared" si="26"/>
        <v>0</v>
      </c>
      <c r="E89" s="171">
        <f t="shared" si="26"/>
        <v>0</v>
      </c>
      <c r="F89" s="171">
        <f t="shared" si="26"/>
        <v>0</v>
      </c>
      <c r="G89" s="171">
        <f t="shared" si="26"/>
        <v>0</v>
      </c>
      <c r="H89" s="171">
        <f t="shared" si="26"/>
        <v>0</v>
      </c>
      <c r="I89" s="171">
        <f t="shared" si="26"/>
        <v>0</v>
      </c>
    </row>
    <row r="90" spans="1:9" ht="15.75" customHeight="1">
      <c r="A90" s="57" t="str">
        <f t="shared" si="0"/>
        <v>Potato</v>
      </c>
      <c r="B90" s="41"/>
      <c r="C90" s="171">
        <f t="shared" ref="C90:I90" si="27">$B90*C37</f>
        <v>0</v>
      </c>
      <c r="D90" s="171">
        <f t="shared" si="27"/>
        <v>0</v>
      </c>
      <c r="E90" s="171">
        <f t="shared" si="27"/>
        <v>0</v>
      </c>
      <c r="F90" s="171">
        <f t="shared" si="27"/>
        <v>0</v>
      </c>
      <c r="G90" s="171">
        <f t="shared" si="27"/>
        <v>0</v>
      </c>
      <c r="H90" s="171">
        <f t="shared" si="27"/>
        <v>0</v>
      </c>
      <c r="I90" s="171">
        <f t="shared" si="27"/>
        <v>0</v>
      </c>
    </row>
    <row r="91" spans="1:9" ht="15.75" customHeight="1">
      <c r="A91" s="57">
        <f t="shared" si="0"/>
        <v>0</v>
      </c>
      <c r="B91" s="41"/>
      <c r="C91" s="171">
        <f t="shared" ref="C91:I91" si="28">$B91*C38</f>
        <v>0</v>
      </c>
      <c r="D91" s="171">
        <f t="shared" si="28"/>
        <v>0</v>
      </c>
      <c r="E91" s="171">
        <f t="shared" si="28"/>
        <v>0</v>
      </c>
      <c r="F91" s="171">
        <f t="shared" si="28"/>
        <v>0</v>
      </c>
      <c r="G91" s="171">
        <f t="shared" si="28"/>
        <v>0</v>
      </c>
      <c r="H91" s="171">
        <f t="shared" si="28"/>
        <v>0</v>
      </c>
      <c r="I91" s="171">
        <f t="shared" si="28"/>
        <v>0</v>
      </c>
    </row>
    <row r="92" spans="1:9" ht="15.75" customHeight="1">
      <c r="A92" s="57">
        <f t="shared" si="0"/>
        <v>0</v>
      </c>
      <c r="B92" s="41"/>
      <c r="C92" s="171">
        <f t="shared" ref="C92:I92" si="29">$B92*C39</f>
        <v>0</v>
      </c>
      <c r="D92" s="171">
        <f t="shared" si="29"/>
        <v>0</v>
      </c>
      <c r="E92" s="171">
        <f t="shared" si="29"/>
        <v>0</v>
      </c>
      <c r="F92" s="171">
        <f t="shared" si="29"/>
        <v>0</v>
      </c>
      <c r="G92" s="171">
        <f t="shared" si="29"/>
        <v>0</v>
      </c>
      <c r="H92" s="171">
        <f t="shared" si="29"/>
        <v>0</v>
      </c>
      <c r="I92" s="171">
        <f t="shared" si="29"/>
        <v>0</v>
      </c>
    </row>
    <row r="93" spans="1:9" ht="15.75" customHeight="1">
      <c r="A93" s="57">
        <f t="shared" si="0"/>
        <v>0</v>
      </c>
      <c r="B93" s="41"/>
      <c r="C93" s="171">
        <f t="shared" ref="C93:I93" si="30">$B93*C40</f>
        <v>0</v>
      </c>
      <c r="D93" s="171">
        <f t="shared" si="30"/>
        <v>0</v>
      </c>
      <c r="E93" s="171">
        <f t="shared" si="30"/>
        <v>0</v>
      </c>
      <c r="F93" s="171">
        <f t="shared" si="30"/>
        <v>0</v>
      </c>
      <c r="G93" s="171">
        <f t="shared" si="30"/>
        <v>0</v>
      </c>
      <c r="H93" s="171">
        <f t="shared" si="30"/>
        <v>0</v>
      </c>
      <c r="I93" s="171">
        <f t="shared" si="30"/>
        <v>0</v>
      </c>
    </row>
    <row r="94" spans="1:9" ht="15.75" customHeight="1">
      <c r="A94" s="57">
        <f t="shared" si="0"/>
        <v>0</v>
      </c>
      <c r="B94" s="41"/>
      <c r="C94" s="171">
        <f t="shared" ref="C94:I94" si="31">$B94*C41</f>
        <v>0</v>
      </c>
      <c r="D94" s="171">
        <f t="shared" si="31"/>
        <v>0</v>
      </c>
      <c r="E94" s="171">
        <f t="shared" si="31"/>
        <v>0</v>
      </c>
      <c r="F94" s="171">
        <f t="shared" si="31"/>
        <v>0</v>
      </c>
      <c r="G94" s="171">
        <f t="shared" si="31"/>
        <v>0</v>
      </c>
      <c r="H94" s="171">
        <f t="shared" si="31"/>
        <v>0</v>
      </c>
      <c r="I94" s="171">
        <f t="shared" si="31"/>
        <v>0</v>
      </c>
    </row>
    <row r="95" spans="1:9" ht="15.75" customHeight="1">
      <c r="A95" s="57" t="str">
        <f t="shared" si="0"/>
        <v>Onion</v>
      </c>
      <c r="B95" s="41"/>
      <c r="C95" s="171">
        <f t="shared" ref="C95:I95" si="32">$B95*C42</f>
        <v>0</v>
      </c>
      <c r="D95" s="171">
        <f t="shared" si="32"/>
        <v>0</v>
      </c>
      <c r="E95" s="171">
        <f t="shared" si="32"/>
        <v>0</v>
      </c>
      <c r="F95" s="171">
        <f t="shared" si="32"/>
        <v>0</v>
      </c>
      <c r="G95" s="171">
        <f t="shared" si="32"/>
        <v>0</v>
      </c>
      <c r="H95" s="171">
        <f t="shared" si="32"/>
        <v>0</v>
      </c>
      <c r="I95" s="171">
        <f t="shared" si="32"/>
        <v>0</v>
      </c>
    </row>
    <row r="96" spans="1:9" ht="15.75" customHeight="1">
      <c r="A96" s="57" t="str">
        <f t="shared" si="0"/>
        <v>Tomato</v>
      </c>
      <c r="B96" s="41"/>
      <c r="C96" s="171">
        <f t="shared" ref="C96:I96" si="33">$B96*C43</f>
        <v>0</v>
      </c>
      <c r="D96" s="171">
        <f t="shared" si="33"/>
        <v>0</v>
      </c>
      <c r="E96" s="171">
        <f t="shared" si="33"/>
        <v>0</v>
      </c>
      <c r="F96" s="171">
        <f t="shared" si="33"/>
        <v>0</v>
      </c>
      <c r="G96" s="171">
        <f t="shared" si="33"/>
        <v>0</v>
      </c>
      <c r="H96" s="171">
        <f t="shared" si="33"/>
        <v>0</v>
      </c>
      <c r="I96" s="171">
        <f t="shared" si="33"/>
        <v>0</v>
      </c>
    </row>
    <row r="97" spans="1:9" ht="15.75" customHeight="1">
      <c r="A97" s="57" t="str">
        <f t="shared" si="0"/>
        <v>Okra</v>
      </c>
      <c r="B97" s="41"/>
      <c r="C97" s="171">
        <f t="shared" ref="C97:I97" si="34">$B97*C44</f>
        <v>0</v>
      </c>
      <c r="D97" s="171">
        <f t="shared" si="34"/>
        <v>0</v>
      </c>
      <c r="E97" s="171">
        <f t="shared" si="34"/>
        <v>0</v>
      </c>
      <c r="F97" s="171">
        <f t="shared" si="34"/>
        <v>0</v>
      </c>
      <c r="G97" s="171">
        <f t="shared" si="34"/>
        <v>0</v>
      </c>
      <c r="H97" s="171">
        <f t="shared" si="34"/>
        <v>0</v>
      </c>
      <c r="I97" s="171">
        <f t="shared" si="34"/>
        <v>0</v>
      </c>
    </row>
    <row r="98" spans="1:9" ht="15.75" customHeight="1">
      <c r="A98" s="57" t="str">
        <f t="shared" si="0"/>
        <v>Chilli</v>
      </c>
      <c r="B98" s="41"/>
      <c r="C98" s="171">
        <f t="shared" ref="C98:I98" si="35">$B98*C45</f>
        <v>0</v>
      </c>
      <c r="D98" s="171">
        <f t="shared" si="35"/>
        <v>0</v>
      </c>
      <c r="E98" s="171">
        <f t="shared" si="35"/>
        <v>0</v>
      </c>
      <c r="F98" s="171">
        <f t="shared" si="35"/>
        <v>0</v>
      </c>
      <c r="G98" s="171">
        <f t="shared" si="35"/>
        <v>0</v>
      </c>
      <c r="H98" s="171">
        <f t="shared" si="35"/>
        <v>0</v>
      </c>
      <c r="I98" s="171">
        <f t="shared" si="35"/>
        <v>0</v>
      </c>
    </row>
    <row r="99" spans="1:9" ht="15.75" customHeight="1">
      <c r="A99" s="57" t="str">
        <f t="shared" si="0"/>
        <v>Brinjal</v>
      </c>
      <c r="B99" s="41"/>
      <c r="C99" s="171">
        <f t="shared" ref="C99:I99" si="36">$B99*C46</f>
        <v>0</v>
      </c>
      <c r="D99" s="171">
        <f t="shared" si="36"/>
        <v>0</v>
      </c>
      <c r="E99" s="171">
        <f t="shared" si="36"/>
        <v>0</v>
      </c>
      <c r="F99" s="171">
        <f t="shared" si="36"/>
        <v>0</v>
      </c>
      <c r="G99" s="171">
        <f t="shared" si="36"/>
        <v>0</v>
      </c>
      <c r="H99" s="171">
        <f t="shared" si="36"/>
        <v>0</v>
      </c>
      <c r="I99" s="171">
        <f t="shared" si="36"/>
        <v>0</v>
      </c>
    </row>
    <row r="100" spans="1:9" ht="15.75" customHeight="1">
      <c r="A100" s="57">
        <f t="shared" si="0"/>
        <v>0</v>
      </c>
      <c r="B100" s="41"/>
      <c r="C100" s="171">
        <f t="shared" ref="C100:I100" si="37">$B100*C47</f>
        <v>0</v>
      </c>
      <c r="D100" s="171">
        <f t="shared" si="37"/>
        <v>0</v>
      </c>
      <c r="E100" s="171">
        <f t="shared" si="37"/>
        <v>0</v>
      </c>
      <c r="F100" s="171">
        <f t="shared" si="37"/>
        <v>0</v>
      </c>
      <c r="G100" s="171">
        <f t="shared" si="37"/>
        <v>0</v>
      </c>
      <c r="H100" s="171">
        <f t="shared" si="37"/>
        <v>0</v>
      </c>
      <c r="I100" s="171">
        <f t="shared" si="37"/>
        <v>0</v>
      </c>
    </row>
    <row r="101" spans="1:9" ht="15.75" customHeight="1">
      <c r="A101" s="57">
        <f t="shared" si="0"/>
        <v>0</v>
      </c>
      <c r="B101" s="41"/>
      <c r="C101" s="171">
        <f t="shared" ref="C101:I101" si="38">$B101*C48</f>
        <v>0</v>
      </c>
      <c r="D101" s="171">
        <f t="shared" si="38"/>
        <v>0</v>
      </c>
      <c r="E101" s="171">
        <f t="shared" si="38"/>
        <v>0</v>
      </c>
      <c r="F101" s="171">
        <f t="shared" si="38"/>
        <v>0</v>
      </c>
      <c r="G101" s="171">
        <f t="shared" si="38"/>
        <v>0</v>
      </c>
      <c r="H101" s="171">
        <f t="shared" si="38"/>
        <v>0</v>
      </c>
      <c r="I101" s="171">
        <f t="shared" si="38"/>
        <v>0</v>
      </c>
    </row>
    <row r="102" spans="1:9" ht="15.75" customHeight="1">
      <c r="A102" s="57">
        <f t="shared" si="0"/>
        <v>0</v>
      </c>
      <c r="B102" s="41"/>
      <c r="C102" s="171">
        <f t="shared" ref="C102:I102" si="39">$B102*C49</f>
        <v>0</v>
      </c>
      <c r="D102" s="171">
        <f t="shared" si="39"/>
        <v>0</v>
      </c>
      <c r="E102" s="171">
        <f t="shared" si="39"/>
        <v>0</v>
      </c>
      <c r="F102" s="171">
        <f t="shared" si="39"/>
        <v>0</v>
      </c>
      <c r="G102" s="171">
        <f t="shared" si="39"/>
        <v>0</v>
      </c>
      <c r="H102" s="171">
        <f t="shared" si="39"/>
        <v>0</v>
      </c>
      <c r="I102" s="171">
        <f t="shared" si="39"/>
        <v>0</v>
      </c>
    </row>
    <row r="103" spans="1:9" ht="15.75" customHeight="1">
      <c r="A103" s="57">
        <f t="shared" si="0"/>
        <v>0</v>
      </c>
      <c r="B103" s="41"/>
      <c r="C103" s="171">
        <f t="shared" ref="C103:I103" si="40">$B103*C50</f>
        <v>0</v>
      </c>
      <c r="D103" s="171">
        <f t="shared" si="40"/>
        <v>0</v>
      </c>
      <c r="E103" s="171">
        <f t="shared" si="40"/>
        <v>0</v>
      </c>
      <c r="F103" s="171">
        <f t="shared" si="40"/>
        <v>0</v>
      </c>
      <c r="G103" s="171">
        <f t="shared" si="40"/>
        <v>0</v>
      </c>
      <c r="H103" s="171">
        <f t="shared" si="40"/>
        <v>0</v>
      </c>
      <c r="I103" s="171">
        <f t="shared" si="40"/>
        <v>0</v>
      </c>
    </row>
    <row r="104" spans="1:9" ht="15.75" customHeight="1">
      <c r="A104" s="57">
        <f t="shared" si="0"/>
        <v>0</v>
      </c>
      <c r="B104" s="41"/>
      <c r="C104" s="171">
        <f t="shared" ref="C104:I104" si="41">$B104*C51</f>
        <v>0</v>
      </c>
      <c r="D104" s="171">
        <f t="shared" si="41"/>
        <v>0</v>
      </c>
      <c r="E104" s="171">
        <f t="shared" si="41"/>
        <v>0</v>
      </c>
      <c r="F104" s="171">
        <f t="shared" si="41"/>
        <v>0</v>
      </c>
      <c r="G104" s="171">
        <f t="shared" si="41"/>
        <v>0</v>
      </c>
      <c r="H104" s="171">
        <f t="shared" si="41"/>
        <v>0</v>
      </c>
      <c r="I104" s="171">
        <f t="shared" si="41"/>
        <v>0</v>
      </c>
    </row>
    <row r="105" spans="1:9" ht="15.75" customHeight="1">
      <c r="A105" s="57">
        <f t="shared" si="0"/>
        <v>0</v>
      </c>
      <c r="B105" s="41"/>
      <c r="C105" s="171">
        <f t="shared" ref="C105:I105" si="42">$B105*C52</f>
        <v>0</v>
      </c>
      <c r="D105" s="171">
        <f t="shared" si="42"/>
        <v>0</v>
      </c>
      <c r="E105" s="171">
        <f t="shared" si="42"/>
        <v>0</v>
      </c>
      <c r="F105" s="171">
        <f t="shared" si="42"/>
        <v>0</v>
      </c>
      <c r="G105" s="171">
        <f t="shared" si="42"/>
        <v>0</v>
      </c>
      <c r="H105" s="171">
        <f t="shared" si="42"/>
        <v>0</v>
      </c>
      <c r="I105" s="171">
        <f t="shared" si="42"/>
        <v>0</v>
      </c>
    </row>
    <row r="106" spans="1:9" ht="15.75" customHeight="1">
      <c r="A106" s="57">
        <f t="shared" si="0"/>
        <v>0</v>
      </c>
      <c r="B106" s="41"/>
      <c r="C106" s="171">
        <f t="shared" ref="C106:I106" si="43">$B106*C53</f>
        <v>0</v>
      </c>
      <c r="D106" s="171">
        <f t="shared" si="43"/>
        <v>0</v>
      </c>
      <c r="E106" s="171">
        <f t="shared" si="43"/>
        <v>0</v>
      </c>
      <c r="F106" s="171">
        <f t="shared" si="43"/>
        <v>0</v>
      </c>
      <c r="G106" s="171">
        <f t="shared" si="43"/>
        <v>0</v>
      </c>
      <c r="H106" s="171">
        <f t="shared" si="43"/>
        <v>0</v>
      </c>
      <c r="I106" s="171">
        <f t="shared" si="43"/>
        <v>0</v>
      </c>
    </row>
    <row r="107" spans="1:9" ht="15.75" customHeight="1">
      <c r="A107" s="57" t="str">
        <f t="shared" si="0"/>
        <v>Pomegranate</v>
      </c>
      <c r="B107" s="41"/>
      <c r="C107" s="171">
        <f t="shared" ref="C107:I107" si="44">$B107*C54</f>
        <v>0</v>
      </c>
      <c r="D107" s="171">
        <f t="shared" si="44"/>
        <v>0</v>
      </c>
      <c r="E107" s="171">
        <f t="shared" si="44"/>
        <v>0</v>
      </c>
      <c r="F107" s="171">
        <f t="shared" si="44"/>
        <v>0</v>
      </c>
      <c r="G107" s="171">
        <f t="shared" si="44"/>
        <v>0</v>
      </c>
      <c r="H107" s="171">
        <f t="shared" si="44"/>
        <v>0</v>
      </c>
      <c r="I107" s="171">
        <f t="shared" si="44"/>
        <v>0</v>
      </c>
    </row>
    <row r="108" spans="1:9" ht="15.75" customHeight="1">
      <c r="A108" s="57" t="str">
        <f t="shared" si="0"/>
        <v>Custard Apple</v>
      </c>
      <c r="B108" s="41"/>
      <c r="C108" s="171">
        <f t="shared" ref="C108:I108" si="45">$B108*C55</f>
        <v>0</v>
      </c>
      <c r="D108" s="171">
        <f t="shared" si="45"/>
        <v>0</v>
      </c>
      <c r="E108" s="171">
        <f t="shared" si="45"/>
        <v>0</v>
      </c>
      <c r="F108" s="171">
        <f t="shared" si="45"/>
        <v>0</v>
      </c>
      <c r="G108" s="171">
        <f t="shared" si="45"/>
        <v>0</v>
      </c>
      <c r="H108" s="171">
        <f t="shared" si="45"/>
        <v>0</v>
      </c>
      <c r="I108" s="171">
        <f t="shared" si="45"/>
        <v>0</v>
      </c>
    </row>
    <row r="109" spans="1:9" ht="15.75" customHeight="1">
      <c r="A109" s="57" t="str">
        <f t="shared" si="0"/>
        <v>Guava</v>
      </c>
      <c r="B109" s="41"/>
      <c r="C109" s="171">
        <f t="shared" ref="C109:I109" si="46">$B109*C56</f>
        <v>0</v>
      </c>
      <c r="D109" s="171">
        <f t="shared" si="46"/>
        <v>0</v>
      </c>
      <c r="E109" s="171">
        <f t="shared" si="46"/>
        <v>0</v>
      </c>
      <c r="F109" s="171">
        <f t="shared" si="46"/>
        <v>0</v>
      </c>
      <c r="G109" s="171">
        <f t="shared" si="46"/>
        <v>0</v>
      </c>
      <c r="H109" s="171">
        <f t="shared" si="46"/>
        <v>0</v>
      </c>
      <c r="I109" s="171">
        <f t="shared" si="46"/>
        <v>0</v>
      </c>
    </row>
    <row r="110" spans="1:9" ht="15.75" customHeight="1">
      <c r="A110" s="57" t="str">
        <f t="shared" si="0"/>
        <v>Citrus</v>
      </c>
      <c r="B110" s="41"/>
      <c r="C110" s="171">
        <f t="shared" ref="C110:I110" si="47">$B110*C57</f>
        <v>0</v>
      </c>
      <c r="D110" s="171">
        <f t="shared" si="47"/>
        <v>0</v>
      </c>
      <c r="E110" s="171">
        <f t="shared" si="47"/>
        <v>0</v>
      </c>
      <c r="F110" s="171">
        <f t="shared" si="47"/>
        <v>0</v>
      </c>
      <c r="G110" s="171">
        <f t="shared" si="47"/>
        <v>0</v>
      </c>
      <c r="H110" s="171">
        <f t="shared" si="47"/>
        <v>0</v>
      </c>
      <c r="I110" s="171">
        <f t="shared" si="47"/>
        <v>0</v>
      </c>
    </row>
    <row r="111" spans="1:9" ht="15.75" customHeight="1">
      <c r="A111" s="57"/>
      <c r="B111" s="41"/>
      <c r="C111" s="171"/>
      <c r="D111" s="171"/>
      <c r="E111" s="171"/>
      <c r="F111" s="171"/>
      <c r="G111" s="171"/>
      <c r="H111" s="171"/>
      <c r="I111" s="171"/>
    </row>
    <row r="112" spans="1:9" ht="15.75" customHeight="1">
      <c r="A112" s="57"/>
      <c r="B112" s="41"/>
      <c r="C112" s="171"/>
      <c r="D112" s="171"/>
      <c r="E112" s="171"/>
      <c r="F112" s="171"/>
      <c r="G112" s="171"/>
      <c r="H112" s="171"/>
      <c r="I112" s="171"/>
    </row>
    <row r="113" spans="1:23" ht="15.75" customHeight="1">
      <c r="A113" s="60" t="s">
        <v>669</v>
      </c>
      <c r="B113" s="57"/>
      <c r="C113" s="57"/>
      <c r="D113" s="57"/>
      <c r="E113" s="57"/>
      <c r="F113" s="57"/>
      <c r="G113" s="57"/>
      <c r="H113" s="57"/>
      <c r="I113" s="57"/>
    </row>
    <row r="114" spans="1:23" ht="15.75" customHeight="1">
      <c r="A114" s="57" t="s">
        <v>670</v>
      </c>
      <c r="B114" s="41">
        <v>100</v>
      </c>
      <c r="C114" s="171">
        <f t="shared" ref="C114:I114" si="48">SUM(C62:C110)*$B$114</f>
        <v>0</v>
      </c>
      <c r="D114" s="171">
        <f t="shared" si="48"/>
        <v>0</v>
      </c>
      <c r="E114" s="171">
        <f t="shared" si="48"/>
        <v>0</v>
      </c>
      <c r="F114" s="171">
        <f t="shared" si="48"/>
        <v>0</v>
      </c>
      <c r="G114" s="171">
        <f t="shared" si="48"/>
        <v>0</v>
      </c>
      <c r="H114" s="171">
        <f t="shared" si="48"/>
        <v>0</v>
      </c>
      <c r="I114" s="171">
        <f t="shared" si="48"/>
        <v>0</v>
      </c>
    </row>
    <row r="115" spans="1:23" ht="15.75" customHeight="1">
      <c r="A115" s="57" t="s">
        <v>671</v>
      </c>
      <c r="B115" s="41">
        <v>30</v>
      </c>
      <c r="C115" s="171">
        <f t="shared" ref="C115:I115" si="49">SUM(C62:C110)*$B$115</f>
        <v>0</v>
      </c>
      <c r="D115" s="171">
        <f t="shared" si="49"/>
        <v>0</v>
      </c>
      <c r="E115" s="171">
        <f t="shared" si="49"/>
        <v>0</v>
      </c>
      <c r="F115" s="171">
        <f t="shared" si="49"/>
        <v>0</v>
      </c>
      <c r="G115" s="171">
        <f t="shared" si="49"/>
        <v>0</v>
      </c>
      <c r="H115" s="171">
        <f t="shared" si="49"/>
        <v>0</v>
      </c>
      <c r="I115" s="171">
        <f t="shared" si="49"/>
        <v>0</v>
      </c>
    </row>
    <row r="116" spans="1:23" ht="15.75" customHeight="1">
      <c r="A116" s="57" t="s">
        <v>672</v>
      </c>
      <c r="B116" s="41">
        <v>30</v>
      </c>
      <c r="C116" s="171">
        <f t="shared" ref="C116:I116" si="50">SUM(C62:C110)*$B$116</f>
        <v>0</v>
      </c>
      <c r="D116" s="171">
        <f t="shared" si="50"/>
        <v>0</v>
      </c>
      <c r="E116" s="171">
        <f t="shared" si="50"/>
        <v>0</v>
      </c>
      <c r="F116" s="171">
        <f t="shared" si="50"/>
        <v>0</v>
      </c>
      <c r="G116" s="171">
        <f t="shared" si="50"/>
        <v>0</v>
      </c>
      <c r="H116" s="171">
        <f t="shared" si="50"/>
        <v>0</v>
      </c>
      <c r="I116" s="171">
        <f t="shared" si="50"/>
        <v>0</v>
      </c>
    </row>
    <row r="117" spans="1:23" ht="15.75" customHeight="1">
      <c r="A117" s="60" t="s">
        <v>673</v>
      </c>
      <c r="B117" s="41"/>
      <c r="C117" s="57"/>
      <c r="D117" s="57"/>
      <c r="E117" s="57"/>
      <c r="F117" s="57"/>
      <c r="G117" s="57"/>
      <c r="H117" s="57"/>
      <c r="I117" s="57"/>
    </row>
    <row r="118" spans="1:23" ht="15.75" customHeight="1">
      <c r="A118" s="57" t="s">
        <v>674</v>
      </c>
      <c r="B118" s="41">
        <v>0.2</v>
      </c>
      <c r="C118" s="171">
        <f t="shared" ref="C118:I118" si="51">SUM(C62:C110)*$B$118</f>
        <v>0</v>
      </c>
      <c r="D118" s="171">
        <f t="shared" si="51"/>
        <v>0</v>
      </c>
      <c r="E118" s="171">
        <f t="shared" si="51"/>
        <v>0</v>
      </c>
      <c r="F118" s="171">
        <f t="shared" si="51"/>
        <v>0</v>
      </c>
      <c r="G118" s="171">
        <f t="shared" si="51"/>
        <v>0</v>
      </c>
      <c r="H118" s="171">
        <f t="shared" si="51"/>
        <v>0</v>
      </c>
      <c r="I118" s="171">
        <f t="shared" si="51"/>
        <v>0</v>
      </c>
    </row>
    <row r="119" spans="1:23" ht="15.75" customHeight="1">
      <c r="A119" s="57" t="s">
        <v>675</v>
      </c>
      <c r="B119" s="41">
        <v>0.5</v>
      </c>
      <c r="C119" s="171">
        <f t="shared" ref="C119:I119" si="52">SUM(C62:C110)*$B$119</f>
        <v>0</v>
      </c>
      <c r="D119" s="171">
        <f t="shared" si="52"/>
        <v>0</v>
      </c>
      <c r="E119" s="171">
        <f t="shared" si="52"/>
        <v>0</v>
      </c>
      <c r="F119" s="171">
        <f t="shared" si="52"/>
        <v>0</v>
      </c>
      <c r="G119" s="171">
        <f t="shared" si="52"/>
        <v>0</v>
      </c>
      <c r="H119" s="171">
        <f t="shared" si="52"/>
        <v>0</v>
      </c>
      <c r="I119" s="171">
        <f t="shared" si="52"/>
        <v>0</v>
      </c>
    </row>
    <row r="120" spans="1:23" ht="15.75" customHeight="1"/>
    <row r="121" spans="1:23" ht="15.75" customHeight="1"/>
    <row r="122" spans="1:23" ht="15.75" customHeight="1">
      <c r="A122" s="267" t="s">
        <v>676</v>
      </c>
      <c r="B122" s="251"/>
      <c r="C122" s="251"/>
      <c r="D122" s="251"/>
      <c r="E122" s="251"/>
      <c r="F122" s="251"/>
      <c r="G122" s="251"/>
      <c r="H122" s="251"/>
      <c r="I122" s="251"/>
      <c r="J122" s="251"/>
    </row>
    <row r="123" spans="1:23" ht="15.75" customHeight="1">
      <c r="A123" s="24"/>
      <c r="B123" s="24"/>
      <c r="C123" s="24"/>
      <c r="D123" s="24"/>
      <c r="E123" s="24"/>
      <c r="F123" s="24"/>
      <c r="G123" s="24"/>
      <c r="H123" s="24"/>
    </row>
    <row r="124" spans="1:23" ht="15.75" customHeight="1">
      <c r="A124" s="74"/>
      <c r="B124" s="74"/>
      <c r="C124" s="74"/>
      <c r="D124" s="172">
        <v>1</v>
      </c>
      <c r="E124" s="173">
        <f t="shared" ref="E124:J124" si="53">(D124*5%)+D124</f>
        <v>1.05</v>
      </c>
      <c r="F124" s="173">
        <f t="shared" si="53"/>
        <v>1.1025</v>
      </c>
      <c r="G124" s="173">
        <f t="shared" si="53"/>
        <v>1.1576250000000001</v>
      </c>
      <c r="H124" s="173">
        <f t="shared" si="53"/>
        <v>1.2155062500000002</v>
      </c>
      <c r="I124" s="173">
        <f t="shared" si="53"/>
        <v>1.2762815625000004</v>
      </c>
      <c r="J124" s="173">
        <f t="shared" si="53"/>
        <v>1.3400956406250004</v>
      </c>
      <c r="K124" s="52"/>
      <c r="U124" s="52"/>
      <c r="V124" s="52"/>
      <c r="W124" s="52"/>
    </row>
    <row r="125" spans="1:23" ht="15.75" customHeight="1">
      <c r="A125" s="52"/>
      <c r="B125" s="52"/>
      <c r="C125" s="52"/>
      <c r="D125" s="52"/>
      <c r="E125" s="52"/>
      <c r="F125" s="52"/>
      <c r="G125" s="52"/>
      <c r="H125" s="52"/>
      <c r="I125" s="52"/>
      <c r="J125" s="52"/>
      <c r="K125" s="52"/>
      <c r="U125" s="52"/>
      <c r="V125" s="52"/>
      <c r="W125" s="52"/>
    </row>
    <row r="126" spans="1:23" ht="15.75" customHeight="1">
      <c r="A126" s="55" t="s">
        <v>150</v>
      </c>
      <c r="B126" s="55" t="s">
        <v>122</v>
      </c>
      <c r="C126" s="55" t="s">
        <v>132</v>
      </c>
      <c r="D126" s="56" t="s">
        <v>153</v>
      </c>
      <c r="E126" s="56" t="s">
        <v>154</v>
      </c>
      <c r="F126" s="56" t="s">
        <v>155</v>
      </c>
      <c r="G126" s="56" t="s">
        <v>156</v>
      </c>
      <c r="H126" s="56" t="s">
        <v>157</v>
      </c>
      <c r="I126" s="56" t="s">
        <v>158</v>
      </c>
      <c r="J126" s="56" t="s">
        <v>159</v>
      </c>
      <c r="K126" s="52"/>
      <c r="U126" s="52"/>
      <c r="V126" s="52"/>
      <c r="W126" s="52"/>
    </row>
    <row r="127" spans="1:23" ht="15.75" customHeight="1">
      <c r="A127" s="60" t="s">
        <v>347</v>
      </c>
      <c r="B127" s="57"/>
      <c r="C127" s="57"/>
      <c r="D127" s="57"/>
      <c r="E127" s="57"/>
      <c r="F127" s="57"/>
      <c r="G127" s="57"/>
      <c r="H127" s="57"/>
      <c r="I127" s="57"/>
      <c r="J127" s="57"/>
      <c r="K127" s="52"/>
      <c r="U127" s="52"/>
      <c r="V127" s="52"/>
      <c r="W127" s="52"/>
    </row>
    <row r="128" spans="1:23" ht="15.75" customHeight="1">
      <c r="A128" s="57" t="s">
        <v>677</v>
      </c>
      <c r="B128" s="57"/>
      <c r="C128" s="57"/>
      <c r="D128" s="57"/>
      <c r="E128" s="57"/>
      <c r="F128" s="57"/>
      <c r="G128" s="57"/>
      <c r="H128" s="57"/>
      <c r="I128" s="57"/>
      <c r="J128" s="57"/>
      <c r="K128" s="52"/>
      <c r="U128" s="52"/>
      <c r="V128" s="52"/>
      <c r="W128" s="52"/>
    </row>
    <row r="129" spans="1:23" ht="15.75" customHeight="1">
      <c r="A129" s="60" t="str">
        <f t="shared" ref="A129:A179" si="54">A8</f>
        <v>Kharif Crops</v>
      </c>
      <c r="B129" s="57"/>
      <c r="C129" s="57"/>
      <c r="D129" s="57"/>
      <c r="E129" s="57"/>
      <c r="F129" s="57"/>
      <c r="G129" s="57"/>
      <c r="H129" s="57"/>
      <c r="I129" s="57"/>
      <c r="J129" s="57"/>
      <c r="K129" s="52"/>
      <c r="U129" s="52"/>
      <c r="V129" s="52"/>
      <c r="W129" s="52"/>
    </row>
    <row r="130" spans="1:23" ht="15.75" customHeight="1">
      <c r="A130" s="57" t="str">
        <f t="shared" si="54"/>
        <v>Soybean</v>
      </c>
      <c r="B130" s="57"/>
      <c r="C130" s="41">
        <v>90</v>
      </c>
      <c r="D130" s="59">
        <f>(C62*(1-'5.Closing Stock &amp; W Capital'!$D$14))*$C$130*D$124</f>
        <v>0</v>
      </c>
      <c r="E130" s="59">
        <f>(D62*(1-'5.Closing Stock &amp; W Capital'!$D$14))*$C$130*E$124</f>
        <v>0</v>
      </c>
      <c r="F130" s="59">
        <f>(E62*(1-'5.Closing Stock &amp; W Capital'!$D$14))*$C$130*F$124</f>
        <v>0</v>
      </c>
      <c r="G130" s="59">
        <f>(F62*(1-'5.Closing Stock &amp; W Capital'!$D$14))*$C$130*G$124</f>
        <v>0</v>
      </c>
      <c r="H130" s="59">
        <f>(G62*(1-'5.Closing Stock &amp; W Capital'!$D$14))*$C$130*H$124</f>
        <v>0</v>
      </c>
      <c r="I130" s="59">
        <f>(H62*(1-'5.Closing Stock &amp; W Capital'!$D$14))*$C$130*I$124</f>
        <v>0</v>
      </c>
      <c r="J130" s="59">
        <f>(I62*(1-'5.Closing Stock &amp; W Capital'!$D$14))*$C$130*J$124</f>
        <v>0</v>
      </c>
      <c r="K130" s="52"/>
      <c r="U130" s="52"/>
      <c r="V130" s="52"/>
      <c r="W130" s="52"/>
    </row>
    <row r="131" spans="1:23" ht="15.75" customHeight="1">
      <c r="A131" s="57" t="str">
        <f t="shared" si="54"/>
        <v>Red Gram/Tur</v>
      </c>
      <c r="B131" s="57"/>
      <c r="C131" s="58">
        <v>80</v>
      </c>
      <c r="D131" s="59">
        <f>(C63*(1-'5.Closing Stock &amp; W Capital'!$D$14))*$C$131*D$124</f>
        <v>0</v>
      </c>
      <c r="E131" s="59">
        <f>((D63*(1-'5.Closing Stock &amp; W Capital'!$D$14))+(C63*'5.Closing Stock &amp; W Capital'!$D$14))*$C$131*E$124</f>
        <v>0</v>
      </c>
      <c r="F131" s="59">
        <f>((E63*(1-'5.Closing Stock &amp; W Capital'!$D$14))+(D63*'5.Closing Stock &amp; W Capital'!$D$14))*$C$131*F$124</f>
        <v>0</v>
      </c>
      <c r="G131" s="59">
        <f>((F63*(1-'5.Closing Stock &amp; W Capital'!$D$14))+(E63*'5.Closing Stock &amp; W Capital'!$D$14))*$C$131*G124</f>
        <v>0</v>
      </c>
      <c r="H131" s="59">
        <f>((G63*(1-'5.Closing Stock &amp; W Capital'!$D$14))+(F63*'5.Closing Stock &amp; W Capital'!$D$14))*$C$131*H124</f>
        <v>0</v>
      </c>
      <c r="I131" s="59">
        <f>((H63*(1-'5.Closing Stock &amp; W Capital'!$D$14))+(G63*'5.Closing Stock &amp; W Capital'!$D$14))*$C$131*I124</f>
        <v>0</v>
      </c>
      <c r="J131" s="59">
        <f>((I63*(1-'5.Closing Stock &amp; W Capital'!$D$14))+(H63*'5.Closing Stock &amp; W Capital'!$D$14))*$C$131*J124</f>
        <v>0</v>
      </c>
      <c r="K131" s="52"/>
      <c r="U131" s="53"/>
      <c r="V131" s="52"/>
      <c r="W131" s="52"/>
    </row>
    <row r="132" spans="1:23" ht="15.75" customHeight="1">
      <c r="A132" s="57" t="str">
        <f t="shared" si="54"/>
        <v>Paddy/Rice</v>
      </c>
      <c r="B132" s="57"/>
      <c r="C132" s="58">
        <v>65</v>
      </c>
      <c r="D132" s="59">
        <f>(C64*(1-'5.Closing Stock &amp; W Capital'!$D$14))*$C$132*D$124</f>
        <v>0</v>
      </c>
      <c r="E132" s="59">
        <f>((D64*(1-'5.Closing Stock &amp; W Capital'!$D$14))+(C64*'5.Closing Stock &amp; W Capital'!$D$14))*$C$132*E$124</f>
        <v>0</v>
      </c>
      <c r="F132" s="59">
        <f>((E64*(1-'5.Closing Stock &amp; W Capital'!$D$14))+(D64*'5.Closing Stock &amp; W Capital'!$D$14))*$C$132*F$124</f>
        <v>0</v>
      </c>
      <c r="G132" s="59">
        <f>((F64*(1-'5.Closing Stock &amp; W Capital'!$D$14))+(E64*'5.Closing Stock &amp; W Capital'!$D$14))*$C$132*G124</f>
        <v>0</v>
      </c>
      <c r="H132" s="59">
        <f>((G64*(1-'5.Closing Stock &amp; W Capital'!$D$14))+(F64*'5.Closing Stock &amp; W Capital'!$D$14))*$C$132*H124</f>
        <v>0</v>
      </c>
      <c r="I132" s="59">
        <f>((H64*(1-'5.Closing Stock &amp; W Capital'!$D$14))+(G64*'5.Closing Stock &amp; W Capital'!$D$14))*$C$132*I124</f>
        <v>0</v>
      </c>
      <c r="J132" s="59">
        <f>((I64*(1-'5.Closing Stock &amp; W Capital'!$D$14))+(H64*'5.Closing Stock &amp; W Capital'!$D$14))*$C$132*J124</f>
        <v>0</v>
      </c>
      <c r="K132" s="52"/>
      <c r="U132" s="52"/>
      <c r="V132" s="52"/>
      <c r="W132" s="52"/>
    </row>
    <row r="133" spans="1:23" ht="15.75" customHeight="1">
      <c r="A133" s="57" t="str">
        <f t="shared" si="54"/>
        <v>Green Gram/ Moong</v>
      </c>
      <c r="B133" s="57"/>
      <c r="C133" s="58">
        <v>85</v>
      </c>
      <c r="D133" s="59">
        <f>(C65*(1-'5.Closing Stock &amp; W Capital'!$D$14))*$C$133*D$124</f>
        <v>0</v>
      </c>
      <c r="E133" s="59">
        <f>((D65*(1-'5.Closing Stock &amp; W Capital'!$D$14))+(C65*'5.Closing Stock &amp; W Capital'!$D$14))*$C$133*E$124</f>
        <v>0</v>
      </c>
      <c r="F133" s="59">
        <f>((E65*(1-'5.Closing Stock &amp; W Capital'!$D$14))+(D65*'5.Closing Stock &amp; W Capital'!$D$14))*$C$133*F$124</f>
        <v>0</v>
      </c>
      <c r="G133" s="59">
        <f>((F65*(1-'5.Closing Stock &amp; W Capital'!$D$14))+(E65*'5.Closing Stock &amp; W Capital'!$D$14))*$C$133*G$124</f>
        <v>0</v>
      </c>
      <c r="H133" s="59">
        <f>((G65*(1-'5.Closing Stock &amp; W Capital'!$D$14))+(F65*'5.Closing Stock &amp; W Capital'!$D$14))*$C$133*H$124</f>
        <v>0</v>
      </c>
      <c r="I133" s="59">
        <f>((H65*(1-'5.Closing Stock &amp; W Capital'!$D$14))+(G65*'5.Closing Stock &amp; W Capital'!$D$14))*$C$133*I$124</f>
        <v>0</v>
      </c>
      <c r="J133" s="59">
        <f>((I65*(1-'5.Closing Stock &amp; W Capital'!$D$14))+(H65*'5.Closing Stock &amp; W Capital'!$D$14))*$C$133*J$124</f>
        <v>0</v>
      </c>
      <c r="K133" s="52"/>
      <c r="U133" s="52"/>
      <c r="V133" s="52"/>
      <c r="W133" s="52"/>
    </row>
    <row r="134" spans="1:23" ht="15.75" customHeight="1">
      <c r="A134" s="57" t="str">
        <f t="shared" si="54"/>
        <v>Maize</v>
      </c>
      <c r="B134" s="57"/>
      <c r="C134" s="58">
        <v>37</v>
      </c>
      <c r="D134" s="59">
        <f>(C66*(1-'5.Closing Stock &amp; W Capital'!$D$14))*$C$134*D$124</f>
        <v>0</v>
      </c>
      <c r="E134" s="59">
        <f>((D66*(1-'5.Closing Stock &amp; W Capital'!$D$14))+(C66*'5.Closing Stock &amp; W Capital'!$D$14))*$C$135*E$124</f>
        <v>0</v>
      </c>
      <c r="F134" s="59">
        <f>((E66*(1-'5.Closing Stock &amp; W Capital'!$D$14))+(D66*'5.Closing Stock &amp; W Capital'!$D$14))*$C$135*F$124</f>
        <v>0</v>
      </c>
      <c r="G134" s="59">
        <f>((F66*(1-'5.Closing Stock &amp; W Capital'!$D$14))+(E66*'5.Closing Stock &amp; W Capital'!$D$14))*$C$135*G$124</f>
        <v>0</v>
      </c>
      <c r="H134" s="59">
        <f>((G66*(1-'5.Closing Stock &amp; W Capital'!$D$14))+(F66*'5.Closing Stock &amp; W Capital'!$D$14))*$C$135*H$124</f>
        <v>0</v>
      </c>
      <c r="I134" s="59">
        <f>((H66*(1-'5.Closing Stock &amp; W Capital'!$D$14))+(G66*'5.Closing Stock &amp; W Capital'!$D$14))*$C$135*I$124</f>
        <v>0</v>
      </c>
      <c r="J134" s="59">
        <f>((I66*(1-'5.Closing Stock &amp; W Capital'!$D$14))+(H66*'5.Closing Stock &amp; W Capital'!$D$14))*$C$135*J$124</f>
        <v>0</v>
      </c>
      <c r="K134" s="52"/>
      <c r="U134" s="52"/>
      <c r="V134" s="52"/>
      <c r="W134" s="52"/>
    </row>
    <row r="135" spans="1:23" ht="15.75" customHeight="1">
      <c r="A135" s="57" t="str">
        <f t="shared" si="54"/>
        <v>Black Gram/Udid</v>
      </c>
      <c r="B135" s="57"/>
      <c r="C135" s="58">
        <v>75</v>
      </c>
      <c r="D135" s="59">
        <f>(C67*(1-'5.Closing Stock &amp; W Capital'!$D$14))*$C$135*D$124</f>
        <v>0</v>
      </c>
      <c r="E135" s="59">
        <f>((D67*(1-'5.Closing Stock &amp; W Capital'!$D$14))+(C67*'5.Closing Stock &amp; W Capital'!$D$14))*$C$135*E$124</f>
        <v>0</v>
      </c>
      <c r="F135" s="59">
        <f>((E67*(1-'5.Closing Stock &amp; W Capital'!$D$14))+(D67*'5.Closing Stock &amp; W Capital'!$D$14))*$C$135*F$124</f>
        <v>0</v>
      </c>
      <c r="G135" s="59">
        <f>((F67*(1-'5.Closing Stock &amp; W Capital'!$D$14))+(E67*'5.Closing Stock &amp; W Capital'!$D$14))*$C$135*G$124</f>
        <v>0</v>
      </c>
      <c r="H135" s="59">
        <f>((G67*(1-'5.Closing Stock &amp; W Capital'!$D$14))+(F67*'5.Closing Stock &amp; W Capital'!$D$14))*$C$135*H$124</f>
        <v>0</v>
      </c>
      <c r="I135" s="59">
        <f>((H67*(1-'5.Closing Stock &amp; W Capital'!$D$14))+(G67*'5.Closing Stock &amp; W Capital'!$D$14))*$C$135*I$124</f>
        <v>0</v>
      </c>
      <c r="J135" s="59">
        <f>((I67*(1-'5.Closing Stock &amp; W Capital'!$D$14))+(H67*'5.Closing Stock &amp; W Capital'!$D$14))*$C$135*J$124</f>
        <v>0</v>
      </c>
      <c r="K135" s="52"/>
      <c r="U135" s="52"/>
      <c r="V135" s="52"/>
      <c r="W135" s="52"/>
    </row>
    <row r="136" spans="1:23" ht="15.75" customHeight="1">
      <c r="A136" s="57" t="str">
        <f t="shared" si="54"/>
        <v>Bajra</v>
      </c>
      <c r="B136" s="57"/>
      <c r="C136" s="58">
        <v>30</v>
      </c>
      <c r="D136" s="59">
        <f>(C68*(1-'5.Closing Stock &amp; W Capital'!$D$14))*$C$136*D$124</f>
        <v>0</v>
      </c>
      <c r="E136" s="59">
        <f>((D68*(1-'5.Closing Stock &amp; W Capital'!$D$14))+(C68*'5.Closing Stock &amp; W Capital'!$D$14))*$C$136*E$124</f>
        <v>0</v>
      </c>
      <c r="F136" s="59">
        <f>((E68*(1-'5.Closing Stock &amp; W Capital'!$D$14))+(D68*'5.Closing Stock &amp; W Capital'!$D$14))*$C$136*F$124</f>
        <v>0</v>
      </c>
      <c r="G136" s="59">
        <f>((F68*(1-'5.Closing Stock &amp; W Capital'!$D$14))+(E68*'5.Closing Stock &amp; W Capital'!$D$14))*$C$136*G$124</f>
        <v>0</v>
      </c>
      <c r="H136" s="59">
        <f>((G68*(1-'5.Closing Stock &amp; W Capital'!$D$14))+(F68*'5.Closing Stock &amp; W Capital'!$D$14))*$C$136*H$124</f>
        <v>0</v>
      </c>
      <c r="I136" s="59">
        <f>((H68*(1-'5.Closing Stock &amp; W Capital'!$D$14))+(G68*'5.Closing Stock &amp; W Capital'!$D$14))*$C$136*I$124</f>
        <v>0</v>
      </c>
      <c r="J136" s="59">
        <f>((I68*(1-'5.Closing Stock &amp; W Capital'!$D$14))+(H68*'5.Closing Stock &amp; W Capital'!$D$14))*$C$136*J$124</f>
        <v>0</v>
      </c>
      <c r="K136" s="52"/>
      <c r="U136" s="52"/>
      <c r="V136" s="52"/>
      <c r="W136" s="52"/>
    </row>
    <row r="137" spans="1:23" ht="15.75" customHeight="1">
      <c r="A137" s="57" t="str">
        <f t="shared" si="54"/>
        <v>Jawar</v>
      </c>
      <c r="B137" s="57"/>
      <c r="C137" s="58">
        <v>30</v>
      </c>
      <c r="D137" s="59">
        <f>(C69*(1-'5.Closing Stock &amp; W Capital'!$D$14))*$C$137*D$124</f>
        <v>0</v>
      </c>
      <c r="E137" s="59">
        <f>((D69*(1-'5.Closing Stock &amp; W Capital'!$D$14))+(C69*'5.Closing Stock &amp; W Capital'!$D$14))*$C$137*E$124</f>
        <v>0</v>
      </c>
      <c r="F137" s="59">
        <f>((E69*(1-'5.Closing Stock &amp; W Capital'!$D$14))+(D69*'5.Closing Stock &amp; W Capital'!$D$14))*$C$137*F$124</f>
        <v>0</v>
      </c>
      <c r="G137" s="59">
        <f>((F69*(1-'5.Closing Stock &amp; W Capital'!$D$14))+(E69*'5.Closing Stock &amp; W Capital'!$D$14))*$C$137*G$124</f>
        <v>0</v>
      </c>
      <c r="H137" s="59">
        <f>((G69*(1-'5.Closing Stock &amp; W Capital'!$D$14))+(F69*'5.Closing Stock &amp; W Capital'!$D$14))*$C$137*H$124</f>
        <v>0</v>
      </c>
      <c r="I137" s="59">
        <f>((H69*(1-'5.Closing Stock &amp; W Capital'!$D$14))+(G69*'5.Closing Stock &amp; W Capital'!$D$14))*$C$137*I$124</f>
        <v>0</v>
      </c>
      <c r="J137" s="59">
        <f>((I69*(1-'5.Closing Stock &amp; W Capital'!$D$14))+(H69*'5.Closing Stock &amp; W Capital'!$D$14))*$C$137*J$124</f>
        <v>0</v>
      </c>
      <c r="K137" s="52"/>
      <c r="U137" s="52"/>
      <c r="V137" s="52"/>
      <c r="W137" s="52"/>
    </row>
    <row r="138" spans="1:23" ht="15.75" customHeight="1">
      <c r="A138" s="60" t="str">
        <f t="shared" si="54"/>
        <v>Rabi Crop</v>
      </c>
      <c r="B138" s="57"/>
      <c r="C138" s="58"/>
      <c r="D138" s="59"/>
      <c r="E138" s="59"/>
      <c r="F138" s="59"/>
      <c r="G138" s="59"/>
      <c r="H138" s="59"/>
      <c r="I138" s="59"/>
      <c r="J138" s="59"/>
      <c r="K138" s="52"/>
      <c r="U138" s="52"/>
      <c r="V138" s="52"/>
      <c r="W138" s="52"/>
    </row>
    <row r="139" spans="1:23" ht="15.75" customHeight="1">
      <c r="A139" s="57" t="str">
        <f t="shared" si="54"/>
        <v>Wheat</v>
      </c>
      <c r="B139" s="57"/>
      <c r="C139" s="58">
        <v>40</v>
      </c>
      <c r="D139" s="59">
        <f>(C71*(1-'5.Closing Stock &amp; W Capital'!$D$14))*$C$139*D$124</f>
        <v>0</v>
      </c>
      <c r="E139" s="59">
        <f>((D71*(1-'5.Closing Stock &amp; W Capital'!$D$14))+(C71*'5.Closing Stock &amp; W Capital'!$D$14))*$C$139*E$124</f>
        <v>0</v>
      </c>
      <c r="F139" s="59">
        <f>((E71*(1-'5.Closing Stock &amp; W Capital'!$D$14))+(D71*'5.Closing Stock &amp; W Capital'!$D$14))*$C$139*F$124</f>
        <v>0</v>
      </c>
      <c r="G139" s="59">
        <f>((F71*(1-'5.Closing Stock &amp; W Capital'!$D$14))+(E71*'5.Closing Stock &amp; W Capital'!$D$14))*$C$139*G$124</f>
        <v>0</v>
      </c>
      <c r="H139" s="59">
        <f>((G71*(1-'5.Closing Stock &amp; W Capital'!$D$14))+(F71*'5.Closing Stock &amp; W Capital'!$D$14))*$C$139*H$124</f>
        <v>0</v>
      </c>
      <c r="I139" s="59">
        <f>((H71*(1-'5.Closing Stock &amp; W Capital'!$D$14))+(G71*'5.Closing Stock &amp; W Capital'!$D$14))*$C$139*I$124</f>
        <v>0</v>
      </c>
      <c r="J139" s="59">
        <f>((I71*(1-'5.Closing Stock &amp; W Capital'!$D$14))+(H71*'5.Closing Stock &amp; W Capital'!$D$14))*$C$139*J$124</f>
        <v>0</v>
      </c>
      <c r="K139" s="52"/>
      <c r="U139" s="52"/>
      <c r="V139" s="52"/>
      <c r="W139" s="52"/>
    </row>
    <row r="140" spans="1:23" ht="15.75" customHeight="1">
      <c r="A140" s="57" t="str">
        <f t="shared" si="54"/>
        <v>Bengal Gram/Channa</v>
      </c>
      <c r="B140" s="57"/>
      <c r="C140" s="58">
        <v>75</v>
      </c>
      <c r="D140" s="59">
        <f>(C72*(1-'5.Closing Stock &amp; W Capital'!$D$14))*$C$140*D$124</f>
        <v>0</v>
      </c>
      <c r="E140" s="59">
        <f>((D72*(1-'5.Closing Stock &amp; W Capital'!$D$14))+(C72*'5.Closing Stock &amp; W Capital'!$D$14))*$C$140*E$124</f>
        <v>0</v>
      </c>
      <c r="F140" s="59">
        <f>((E72*(1-'5.Closing Stock &amp; W Capital'!$D$14))+(D72*'5.Closing Stock &amp; W Capital'!$D$14))*$C$140*F$124</f>
        <v>0</v>
      </c>
      <c r="G140" s="59">
        <f>((F72*(1-'5.Closing Stock &amp; W Capital'!$D$14))+(E72*'5.Closing Stock &amp; W Capital'!$D$14))*$C$140*G$124</f>
        <v>0</v>
      </c>
      <c r="H140" s="59">
        <f>((G72*(1-'5.Closing Stock &amp; W Capital'!$D$14))+(F72*'5.Closing Stock &amp; W Capital'!$D$14))*$C$140*H$124</f>
        <v>0</v>
      </c>
      <c r="I140" s="59">
        <f>((H72*(1-'5.Closing Stock &amp; W Capital'!$D$14))+(G72*'5.Closing Stock &amp; W Capital'!$D$14))*$C$140*I$124</f>
        <v>0</v>
      </c>
      <c r="J140" s="59">
        <f>((I72*(1-'5.Closing Stock &amp; W Capital'!$D$14))+(H72*'5.Closing Stock &amp; W Capital'!$D$14))*$C$140*J$124</f>
        <v>0</v>
      </c>
      <c r="K140" s="52"/>
      <c r="U140" s="52"/>
      <c r="V140" s="52"/>
      <c r="W140" s="52"/>
    </row>
    <row r="141" spans="1:23" ht="15.75" customHeight="1">
      <c r="A141" s="57" t="str">
        <f t="shared" si="54"/>
        <v>Jawar</v>
      </c>
      <c r="B141" s="57"/>
      <c r="C141" s="58">
        <v>27</v>
      </c>
      <c r="D141" s="59">
        <f>(C73*(1-'5.Closing Stock &amp; W Capital'!$D$14))*$C$141*D$124</f>
        <v>0</v>
      </c>
      <c r="E141" s="59">
        <f>((D73*(1-'5.Closing Stock &amp; W Capital'!$D$14))+(C73*'5.Closing Stock &amp; W Capital'!$D$14))*$C$141*E$124</f>
        <v>0</v>
      </c>
      <c r="F141" s="59">
        <f>((E73*(1-'5.Closing Stock &amp; W Capital'!$D$14))+(D73*'5.Closing Stock &amp; W Capital'!$D$14))*$C$141*F$124</f>
        <v>0</v>
      </c>
      <c r="G141" s="59">
        <f>((F73*(1-'5.Closing Stock &amp; W Capital'!$D$14))+(E73*'5.Closing Stock &amp; W Capital'!$D$14))*$C$141*G$124</f>
        <v>0</v>
      </c>
      <c r="H141" s="59">
        <f>((G73*(1-'5.Closing Stock &amp; W Capital'!$D$14))+(F73*'5.Closing Stock &amp; W Capital'!$D$14))*$C$141*H$124</f>
        <v>0</v>
      </c>
      <c r="I141" s="59">
        <f>((H73*(1-'5.Closing Stock &amp; W Capital'!$D$14))+(G73*'5.Closing Stock &amp; W Capital'!$D$14))*$C$141*I$124</f>
        <v>0</v>
      </c>
      <c r="J141" s="59">
        <f>((I73*(1-'5.Closing Stock &amp; W Capital'!$D$14))+(H73*'5.Closing Stock &amp; W Capital'!$D$14))*$C$141*J$124</f>
        <v>0</v>
      </c>
      <c r="K141" s="52"/>
      <c r="U141" s="52"/>
      <c r="V141" s="52"/>
      <c r="W141" s="52"/>
    </row>
    <row r="142" spans="1:23" ht="15.75" customHeight="1">
      <c r="A142" s="57" t="str">
        <f t="shared" si="54"/>
        <v>Maize</v>
      </c>
      <c r="B142" s="57"/>
      <c r="C142" s="58">
        <v>27</v>
      </c>
      <c r="D142" s="59">
        <f>(C74*(1-'5.Closing Stock &amp; W Capital'!$D$14))*$C$142*D$124</f>
        <v>0</v>
      </c>
      <c r="E142" s="59">
        <f>((D74*(1-'5.Closing Stock &amp; W Capital'!$D$14))+(C74*'5.Closing Stock &amp; W Capital'!$D$14))*$C$142*E$124</f>
        <v>0</v>
      </c>
      <c r="F142" s="59">
        <f>((E74*(1-'5.Closing Stock &amp; W Capital'!$D$14))+(D74*'5.Closing Stock &amp; W Capital'!$D$14))*$C$142*F$124</f>
        <v>0</v>
      </c>
      <c r="G142" s="59">
        <f>((F74*(1-'5.Closing Stock &amp; W Capital'!$D$14))+(E74*'5.Closing Stock &amp; W Capital'!$D$14))*$C$142*G$124</f>
        <v>0</v>
      </c>
      <c r="H142" s="59">
        <f>((G74*(1-'5.Closing Stock &amp; W Capital'!$D$14))+(F74*'5.Closing Stock &amp; W Capital'!$D$14))*$C$142*H$124</f>
        <v>0</v>
      </c>
      <c r="I142" s="59">
        <f>((H74*(1-'5.Closing Stock &amp; W Capital'!$D$14))+(G74*'5.Closing Stock &amp; W Capital'!$D$14))*$C$142*I$124</f>
        <v>0</v>
      </c>
      <c r="J142" s="59">
        <f>((I74*(1-'5.Closing Stock &amp; W Capital'!$D$14))+(H74*'5.Closing Stock &amp; W Capital'!$D$14))*$C$142*J$124</f>
        <v>0</v>
      </c>
      <c r="K142" s="52"/>
      <c r="U142" s="52"/>
      <c r="V142" s="52"/>
      <c r="W142" s="52"/>
    </row>
    <row r="143" spans="1:23" ht="15.75" customHeight="1">
      <c r="A143" s="57" t="str">
        <f t="shared" si="54"/>
        <v>Safflower</v>
      </c>
      <c r="B143" s="57"/>
      <c r="C143" s="58"/>
      <c r="D143" s="59">
        <f>(C75*(1-'5.Closing Stock &amp; W Capital'!$D$14))*$C$143*D$124</f>
        <v>0</v>
      </c>
      <c r="E143" s="59">
        <f>((D75*(1-'5.Closing Stock &amp; W Capital'!$D$14))+(C75*'5.Closing Stock &amp; W Capital'!$D$14))*$C$143*E$124</f>
        <v>0</v>
      </c>
      <c r="F143" s="59">
        <f>((E75*(1-'5.Closing Stock &amp; W Capital'!$D$14))+(D75*'5.Closing Stock &amp; W Capital'!$D$14))*$C$143*F$124</f>
        <v>0</v>
      </c>
      <c r="G143" s="59">
        <f>((F75*(1-'5.Closing Stock &amp; W Capital'!$D$14))+(E75*'5.Closing Stock &amp; W Capital'!$D$14))*$C$143*G$124</f>
        <v>0</v>
      </c>
      <c r="H143" s="59">
        <f>((G75*(1-'5.Closing Stock &amp; W Capital'!$D$14))+(F75*'5.Closing Stock &amp; W Capital'!$D$14))*$C$143*H$124</f>
        <v>0</v>
      </c>
      <c r="I143" s="59">
        <f>((H75*(1-'5.Closing Stock &amp; W Capital'!$D$14))+(G75*'5.Closing Stock &amp; W Capital'!$D$14))*$C$143*I$124</f>
        <v>0</v>
      </c>
      <c r="J143" s="59">
        <f>((I75*(1-'5.Closing Stock &amp; W Capital'!$D$14))+(H75*'5.Closing Stock &amp; W Capital'!$D$14))*$C$143*J$124</f>
        <v>0</v>
      </c>
      <c r="K143" s="52"/>
      <c r="U143" s="52"/>
      <c r="V143" s="52"/>
      <c r="W143" s="52"/>
    </row>
    <row r="144" spans="1:23" ht="15.75" customHeight="1">
      <c r="A144" s="57">
        <f t="shared" si="54"/>
        <v>0</v>
      </c>
      <c r="B144" s="57"/>
      <c r="C144" s="58"/>
      <c r="D144" s="59">
        <f>(C76*(1-'5.Closing Stock &amp; W Capital'!$D$14))*$C$144*D$124</f>
        <v>0</v>
      </c>
      <c r="E144" s="59">
        <f>((D76*(1-'5.Closing Stock &amp; W Capital'!$D$14))+(C76*'5.Closing Stock &amp; W Capital'!$D$14))*$C$144*E$124</f>
        <v>0</v>
      </c>
      <c r="F144" s="59">
        <f>((E76*(1-'5.Closing Stock &amp; W Capital'!$D$14))+(D76*'5.Closing Stock &amp; W Capital'!$D$14))*$C$144*F$124</f>
        <v>0</v>
      </c>
      <c r="G144" s="59">
        <f>((F76*(1-'5.Closing Stock &amp; W Capital'!$D$14))+(E76*'5.Closing Stock &amp; W Capital'!$D$14))*$C$144*G$124</f>
        <v>0</v>
      </c>
      <c r="H144" s="59">
        <f>((G76*(1-'5.Closing Stock &amp; W Capital'!$D$14))+(F76*'5.Closing Stock &amp; W Capital'!$D$14))*$C$144*H$124</f>
        <v>0</v>
      </c>
      <c r="I144" s="59">
        <f>((H76*(1-'5.Closing Stock &amp; W Capital'!$D$14))+(G76*'5.Closing Stock &amp; W Capital'!$D$14))*$C$144*I$124</f>
        <v>0</v>
      </c>
      <c r="J144" s="59">
        <f>((I76*(1-'5.Closing Stock &amp; W Capital'!$D$14))+(H76*'5.Closing Stock &amp; W Capital'!$D$14))*$C$144*J$124</f>
        <v>0</v>
      </c>
      <c r="K144" s="52"/>
      <c r="U144" s="52"/>
      <c r="V144" s="52"/>
      <c r="W144" s="52"/>
    </row>
    <row r="145" spans="1:23" ht="15.75" customHeight="1">
      <c r="A145" s="57">
        <f t="shared" si="54"/>
        <v>0</v>
      </c>
      <c r="B145" s="57"/>
      <c r="C145" s="58"/>
      <c r="D145" s="59">
        <f>(C77*(1-'5.Closing Stock &amp; W Capital'!$D$14))*$C$145*D$124</f>
        <v>0</v>
      </c>
      <c r="E145" s="59">
        <f>((D77*(1-'5.Closing Stock &amp; W Capital'!$D$14))+(C77*'5.Closing Stock &amp; W Capital'!$D$14))*$C$145*E$124</f>
        <v>0</v>
      </c>
      <c r="F145" s="59">
        <f>((E77*(1-'5.Closing Stock &amp; W Capital'!$D$14))+(D77*'5.Closing Stock &amp; W Capital'!$D$14))*$C$145*F$124</f>
        <v>0</v>
      </c>
      <c r="G145" s="59">
        <f>((F77*(1-'5.Closing Stock &amp; W Capital'!$D$14))+(E77*'5.Closing Stock &amp; W Capital'!$D$14))*$C$145*G$124</f>
        <v>0</v>
      </c>
      <c r="H145" s="59">
        <f>((G77*(1-'5.Closing Stock &amp; W Capital'!$D$14))+(F77*'5.Closing Stock &amp; W Capital'!$D$14))*$C$145*H$124</f>
        <v>0</v>
      </c>
      <c r="I145" s="59">
        <f>((H77*(1-'5.Closing Stock &amp; W Capital'!$D$14))+(G77*'5.Closing Stock &amp; W Capital'!$D$14))*$C$145*I$124</f>
        <v>0</v>
      </c>
      <c r="J145" s="59">
        <f>((I77*(1-'5.Closing Stock &amp; W Capital'!$D$14))+(H77*'5.Closing Stock &amp; W Capital'!$D$14))*$C$145*J$124</f>
        <v>0</v>
      </c>
      <c r="K145" s="52"/>
      <c r="U145" s="52"/>
      <c r="V145" s="52"/>
      <c r="W145" s="52"/>
    </row>
    <row r="146" spans="1:23" ht="15.75" customHeight="1">
      <c r="A146" s="57">
        <f t="shared" si="54"/>
        <v>0</v>
      </c>
      <c r="B146" s="57"/>
      <c r="C146" s="58"/>
      <c r="D146" s="59">
        <f>(C78*(1-'5.Closing Stock &amp; W Capital'!$D$14))*$C$146*D$124</f>
        <v>0</v>
      </c>
      <c r="E146" s="59">
        <f>((D78*(1-'5.Closing Stock &amp; W Capital'!$D$14))+(C78*'5.Closing Stock &amp; W Capital'!$D$14))*$C$146*E$124</f>
        <v>0</v>
      </c>
      <c r="F146" s="59">
        <f>((E78*(1-'5.Closing Stock &amp; W Capital'!$D$14))+(D78*'5.Closing Stock &amp; W Capital'!$D$14))*$C$146*F$124</f>
        <v>0</v>
      </c>
      <c r="G146" s="59">
        <f>((F78*(1-'5.Closing Stock &amp; W Capital'!$D$14))+(E78*'5.Closing Stock &amp; W Capital'!$D$14))*$C$146*G$124</f>
        <v>0</v>
      </c>
      <c r="H146" s="59">
        <f>((G78*(1-'5.Closing Stock &amp; W Capital'!$D$14))+(F78*'5.Closing Stock &amp; W Capital'!$D$14))*$C$146*H$124</f>
        <v>0</v>
      </c>
      <c r="I146" s="59">
        <f>((H78*(1-'5.Closing Stock &amp; W Capital'!$D$14))+(G78*'5.Closing Stock &amp; W Capital'!$D$14))*$C$146*I$124</f>
        <v>0</v>
      </c>
      <c r="J146" s="59">
        <f>((I78*(1-'5.Closing Stock &amp; W Capital'!$D$14))+(H78*'5.Closing Stock &amp; W Capital'!$D$14))*$C$146*J$124</f>
        <v>0</v>
      </c>
      <c r="K146" s="52"/>
      <c r="U146" s="52"/>
      <c r="V146" s="52"/>
      <c r="W146" s="52"/>
    </row>
    <row r="147" spans="1:23" ht="15.75" customHeight="1">
      <c r="A147" s="60" t="str">
        <f t="shared" si="54"/>
        <v>Summer</v>
      </c>
      <c r="B147" s="57"/>
      <c r="C147" s="58"/>
      <c r="D147" s="59"/>
      <c r="E147" s="59"/>
      <c r="F147" s="59"/>
      <c r="G147" s="59"/>
      <c r="H147" s="59"/>
      <c r="I147" s="59"/>
      <c r="J147" s="59"/>
      <c r="K147" s="52"/>
      <c r="U147" s="52"/>
      <c r="V147" s="52"/>
      <c r="W147" s="52"/>
    </row>
    <row r="148" spans="1:23" ht="15.75" customHeight="1">
      <c r="A148" s="57" t="str">
        <f t="shared" si="54"/>
        <v>Groundnut</v>
      </c>
      <c r="B148" s="57"/>
      <c r="C148" s="58"/>
      <c r="D148" s="59">
        <f>(C80*(1-'5.Closing Stock &amp; W Capital'!$D$14))*$C$148*D$124</f>
        <v>0</v>
      </c>
      <c r="E148" s="59">
        <f>((D80*(1-'5.Closing Stock &amp; W Capital'!$D$14))+(C80*'5.Closing Stock &amp; W Capital'!$D$14))*$C$148*E$124</f>
        <v>0</v>
      </c>
      <c r="F148" s="59">
        <f>((E80*(1-'5.Closing Stock &amp; W Capital'!$D$14))+(D80*'5.Closing Stock &amp; W Capital'!$D$14))*$C$148*F$124</f>
        <v>0</v>
      </c>
      <c r="G148" s="59">
        <f>((F80*(1-'5.Closing Stock &amp; W Capital'!$D$14))+(E80*'5.Closing Stock &amp; W Capital'!$D$14))*$C$148*G$124</f>
        <v>0</v>
      </c>
      <c r="H148" s="59">
        <f>((G80*(1-'5.Closing Stock &amp; W Capital'!$D$14))+(F80*'5.Closing Stock &amp; W Capital'!$D$14))*$C$148*H$124</f>
        <v>0</v>
      </c>
      <c r="I148" s="59">
        <f>((H80*(1-'5.Closing Stock &amp; W Capital'!$D$14))+(G80*'5.Closing Stock &amp; W Capital'!$D$14))*$C$148*I$124</f>
        <v>0</v>
      </c>
      <c r="J148" s="59">
        <f>((I80*(1-'5.Closing Stock &amp; W Capital'!$D$14))+(H80*'5.Closing Stock &amp; W Capital'!$D$14))*$C$148*J$124</f>
        <v>0</v>
      </c>
      <c r="K148" s="52"/>
      <c r="U148" s="52"/>
      <c r="V148" s="52"/>
      <c r="W148" s="52"/>
    </row>
    <row r="149" spans="1:23" ht="15.75" customHeight="1">
      <c r="A149" s="57">
        <f t="shared" si="54"/>
        <v>0</v>
      </c>
      <c r="B149" s="57"/>
      <c r="C149" s="58"/>
      <c r="D149" s="59">
        <f>(C81*(1-'5.Closing Stock &amp; W Capital'!$D$14))*$C$149*D$124</f>
        <v>0</v>
      </c>
      <c r="E149" s="59">
        <f>((D81*(1-'5.Closing Stock &amp; W Capital'!$D$14))+(C81*'5.Closing Stock &amp; W Capital'!$D$14))*$C$149*E$124</f>
        <v>0</v>
      </c>
      <c r="F149" s="59">
        <f>((E81*(1-'5.Closing Stock &amp; W Capital'!$D$14))+(D81*'5.Closing Stock &amp; W Capital'!$D$14))*$C$149*F$124</f>
        <v>0</v>
      </c>
      <c r="G149" s="59">
        <f>((F81*(1-'5.Closing Stock &amp; W Capital'!$D$14))+(E81*'5.Closing Stock &amp; W Capital'!$D$14))*$C$149*G$124</f>
        <v>0</v>
      </c>
      <c r="H149" s="59">
        <f>((G81*(1-'5.Closing Stock &amp; W Capital'!$D$14))+(F81*'5.Closing Stock &amp; W Capital'!$D$14))*$C$149*H$124</f>
        <v>0</v>
      </c>
      <c r="I149" s="59">
        <f>((H81*(1-'5.Closing Stock &amp; W Capital'!$D$14))+(G81*'5.Closing Stock &amp; W Capital'!$D$14))*$C$149*I$124</f>
        <v>0</v>
      </c>
      <c r="J149" s="59">
        <f>((I81*(1-'5.Closing Stock &amp; W Capital'!$D$14))+(H81*'5.Closing Stock &amp; W Capital'!$D$14))*$C$149*J$124</f>
        <v>0</v>
      </c>
      <c r="K149" s="52"/>
      <c r="U149" s="52"/>
      <c r="V149" s="52"/>
      <c r="W149" s="52"/>
    </row>
    <row r="150" spans="1:23" ht="15.75" customHeight="1">
      <c r="A150" s="57">
        <f t="shared" si="54"/>
        <v>0</v>
      </c>
      <c r="B150" s="57"/>
      <c r="C150" s="58"/>
      <c r="D150" s="59">
        <f>(C82*(1-'5.Closing Stock &amp; W Capital'!$D$14))*$C$150*D$124</f>
        <v>0</v>
      </c>
      <c r="E150" s="59">
        <f>((D82*(1-'5.Closing Stock &amp; W Capital'!$D$14))+(C82*'5.Closing Stock &amp; W Capital'!$D$14))*$C$150*E$124</f>
        <v>0</v>
      </c>
      <c r="F150" s="59">
        <f>((E82*(1-'5.Closing Stock &amp; W Capital'!$D$14))+(D82*'5.Closing Stock &amp; W Capital'!$D$14))*$C$150*F$124</f>
        <v>0</v>
      </c>
      <c r="G150" s="59">
        <f>((F82*(1-'5.Closing Stock &amp; W Capital'!$D$14))+(E82*'5.Closing Stock &amp; W Capital'!$D$14))*$C$150*G$124</f>
        <v>0</v>
      </c>
      <c r="H150" s="59">
        <f>((G82*(1-'5.Closing Stock &amp; W Capital'!$D$14))+(F82*'5.Closing Stock &amp; W Capital'!$D$14))*$C$150*H$124</f>
        <v>0</v>
      </c>
      <c r="I150" s="59">
        <f>((H82*(1-'5.Closing Stock &amp; W Capital'!$D$14))+(G82*'5.Closing Stock &amp; W Capital'!$D$14))*$C$150*I$124</f>
        <v>0</v>
      </c>
      <c r="J150" s="59">
        <f>((I82*(1-'5.Closing Stock &amp; W Capital'!$D$14))+(H82*'5.Closing Stock &amp; W Capital'!$D$14))*$C$150*J$124</f>
        <v>0</v>
      </c>
      <c r="K150" s="52"/>
      <c r="U150" s="52"/>
      <c r="V150" s="52"/>
      <c r="W150" s="52"/>
    </row>
    <row r="151" spans="1:23" ht="15.75" customHeight="1">
      <c r="A151" s="57">
        <f t="shared" si="54"/>
        <v>0</v>
      </c>
      <c r="B151" s="57"/>
      <c r="C151" s="58"/>
      <c r="D151" s="59">
        <f>(C83*(1-'5.Closing Stock &amp; W Capital'!$D$14))*$C$151*D$124</f>
        <v>0</v>
      </c>
      <c r="E151" s="59">
        <f>((D83*(1-'5.Closing Stock &amp; W Capital'!$D$14))+(C83*'5.Closing Stock &amp; W Capital'!$D$14))*$C$151*E$124</f>
        <v>0</v>
      </c>
      <c r="F151" s="59">
        <f>((E83*(1-'5.Closing Stock &amp; W Capital'!$D$14))+(D83*'5.Closing Stock &amp; W Capital'!$D$14))*$C$151*F$124</f>
        <v>0</v>
      </c>
      <c r="G151" s="59">
        <f>((F83*(1-'5.Closing Stock &amp; W Capital'!$D$14))+(E83*'5.Closing Stock &amp; W Capital'!$D$14))*$C$151*G$124</f>
        <v>0</v>
      </c>
      <c r="H151" s="59">
        <f>((G83*(1-'5.Closing Stock &amp; W Capital'!$D$14))+(F83*'5.Closing Stock &amp; W Capital'!$D$14))*$C$151*H$124</f>
        <v>0</v>
      </c>
      <c r="I151" s="59">
        <f>((H83*(1-'5.Closing Stock &amp; W Capital'!$D$14))+(G83*'5.Closing Stock &amp; W Capital'!$D$14))*$C$151*I$124</f>
        <v>0</v>
      </c>
      <c r="J151" s="59">
        <f>((I83*(1-'5.Closing Stock &amp; W Capital'!$D$14))+(H83*'5.Closing Stock &amp; W Capital'!$D$14))*$C$151*J$124</f>
        <v>0</v>
      </c>
      <c r="K151" s="52"/>
      <c r="U151" s="52"/>
      <c r="V151" s="52"/>
      <c r="W151" s="52"/>
    </row>
    <row r="152" spans="1:23" ht="15.75" customHeight="1">
      <c r="A152" s="57">
        <f t="shared" si="54"/>
        <v>0</v>
      </c>
      <c r="B152" s="57"/>
      <c r="C152" s="58"/>
      <c r="D152" s="59">
        <f>(C84*(1-'5.Closing Stock &amp; W Capital'!$D$14))*$C$152*D$124</f>
        <v>0</v>
      </c>
      <c r="E152" s="59">
        <f>((D84*(1-'5.Closing Stock &amp; W Capital'!$D$14))+(C84*'5.Closing Stock &amp; W Capital'!$D$14))*$C$152*E$124</f>
        <v>0</v>
      </c>
      <c r="F152" s="59">
        <f>((E84*(1-'5.Closing Stock &amp; W Capital'!$D$14))+(D84*'5.Closing Stock &amp; W Capital'!$D$14))*$C$152*F$124</f>
        <v>0</v>
      </c>
      <c r="G152" s="59">
        <f>((F84*(1-'5.Closing Stock &amp; W Capital'!$D$14))+(E84*'5.Closing Stock &amp; W Capital'!$D$14))*$C$152*G$124</f>
        <v>0</v>
      </c>
      <c r="H152" s="59">
        <f>((G84*(1-'5.Closing Stock &amp; W Capital'!$D$14))+(F84*'5.Closing Stock &amp; W Capital'!$D$14))*$C$152*H$124</f>
        <v>0</v>
      </c>
      <c r="I152" s="59">
        <f>((H84*(1-'5.Closing Stock &amp; W Capital'!$D$14))+(G84*'5.Closing Stock &amp; W Capital'!$D$14))*$C$152*I$124</f>
        <v>0</v>
      </c>
      <c r="J152" s="59">
        <f>((I84*(1-'5.Closing Stock &amp; W Capital'!$D$14))+(H84*'5.Closing Stock &amp; W Capital'!$D$14))*$C$152*J$124</f>
        <v>0</v>
      </c>
      <c r="K152" s="52"/>
      <c r="U152" s="52"/>
      <c r="V152" s="52"/>
      <c r="W152" s="52"/>
    </row>
    <row r="153" spans="1:23" ht="15.75" customHeight="1">
      <c r="A153" s="57" t="str">
        <f t="shared" si="54"/>
        <v>Fruit  &amp; Vegetables Crop Production Details</v>
      </c>
      <c r="B153" s="57"/>
      <c r="C153" s="58"/>
      <c r="D153" s="59"/>
      <c r="E153" s="59"/>
      <c r="F153" s="59"/>
      <c r="G153" s="59"/>
      <c r="H153" s="59"/>
      <c r="I153" s="59"/>
      <c r="J153" s="59"/>
      <c r="K153" s="52"/>
      <c r="U153" s="52"/>
      <c r="V153" s="52"/>
      <c r="W153" s="52"/>
    </row>
    <row r="154" spans="1:23" ht="15.75" customHeight="1">
      <c r="A154" s="57" t="str">
        <f t="shared" si="54"/>
        <v>Onion</v>
      </c>
      <c r="B154" s="57"/>
      <c r="C154" s="58"/>
      <c r="D154" s="59">
        <f>(C86*(1-'5.Closing Stock &amp; W Capital'!$D$14))*$C154*D$124</f>
        <v>0</v>
      </c>
      <c r="E154" s="59">
        <f>((D86*(1-'5.Closing Stock &amp; W Capital'!$D$14))+(C86*'5.Closing Stock &amp; W Capital'!$D$14))*$C154*E$124</f>
        <v>0</v>
      </c>
      <c r="F154" s="59">
        <f>((E86*(1-'5.Closing Stock &amp; W Capital'!$D$14))+(D86*'5.Closing Stock &amp; W Capital'!$D$14))*$C$152*F$124</f>
        <v>0</v>
      </c>
      <c r="G154" s="59">
        <f>((F86*(1-'5.Closing Stock &amp; W Capital'!$D$14))+(E86*'5.Closing Stock &amp; W Capital'!$D$14))*$C$152*G$124</f>
        <v>0</v>
      </c>
      <c r="H154" s="59">
        <f>((G86*(1-'5.Closing Stock &amp; W Capital'!$D$14))+(F86*'5.Closing Stock &amp; W Capital'!$D$14))*$C$152*H$124</f>
        <v>0</v>
      </c>
      <c r="I154" s="59">
        <f>((H86*(1-'5.Closing Stock &amp; W Capital'!$D$14))+(G86*'5.Closing Stock &amp; W Capital'!$D$14))*$C$152*I$124</f>
        <v>0</v>
      </c>
      <c r="J154" s="59">
        <f>((I86*(1-'5.Closing Stock &amp; W Capital'!$D$14))+(H86*'5.Closing Stock &amp; W Capital'!$D$14))*$C$152*J$124</f>
        <v>0</v>
      </c>
      <c r="K154" s="52"/>
      <c r="U154" s="52"/>
      <c r="V154" s="52"/>
      <c r="W154" s="52"/>
    </row>
    <row r="155" spans="1:23" ht="15.75" customHeight="1">
      <c r="A155" s="57" t="str">
        <f t="shared" si="54"/>
        <v>Tomato</v>
      </c>
      <c r="B155" s="57"/>
      <c r="C155" s="58"/>
      <c r="D155" s="59">
        <f>(C87*(1-'5.Closing Stock &amp; W Capital'!$D$14))*$C155*D$124</f>
        <v>0</v>
      </c>
      <c r="E155" s="59">
        <f>((D87*(1-'5.Closing Stock &amp; W Capital'!$D$14))+(C87*'5.Closing Stock &amp; W Capital'!$D$14))*$C155*E$124</f>
        <v>0</v>
      </c>
      <c r="F155" s="59">
        <f>((E87*(1-'5.Closing Stock &amp; W Capital'!$D$14))+(D87*'5.Closing Stock &amp; W Capital'!$D$14))*$C$152*F$124</f>
        <v>0</v>
      </c>
      <c r="G155" s="59">
        <f>((F87*(1-'5.Closing Stock &amp; W Capital'!$D$14))+(E87*'5.Closing Stock &amp; W Capital'!$D$14))*$C$152*G$124</f>
        <v>0</v>
      </c>
      <c r="H155" s="59">
        <f>((G87*(1-'5.Closing Stock &amp; W Capital'!$D$14))+(F87*'5.Closing Stock &amp; W Capital'!$D$14))*$C$152*H$124</f>
        <v>0</v>
      </c>
      <c r="I155" s="59">
        <f>((H87*(1-'5.Closing Stock &amp; W Capital'!$D$14))+(G87*'5.Closing Stock &amp; W Capital'!$D$14))*$C$152*I$124</f>
        <v>0</v>
      </c>
      <c r="J155" s="59">
        <f>((I87*(1-'5.Closing Stock &amp; W Capital'!$D$14))+(H87*'5.Closing Stock &amp; W Capital'!$D$14))*$C$152*J$124</f>
        <v>0</v>
      </c>
      <c r="K155" s="52"/>
      <c r="U155" s="52"/>
      <c r="V155" s="52"/>
      <c r="W155" s="52"/>
    </row>
    <row r="156" spans="1:23" ht="15.75" customHeight="1">
      <c r="A156" s="57" t="str">
        <f t="shared" si="54"/>
        <v>Okra</v>
      </c>
      <c r="B156" s="57"/>
      <c r="C156" s="58"/>
      <c r="D156" s="59">
        <f>(C88*(1-'5.Closing Stock &amp; W Capital'!$D$14))*$C156*D$124</f>
        <v>0</v>
      </c>
      <c r="E156" s="59">
        <f>((D88*(1-'5.Closing Stock &amp; W Capital'!$D$14))+(C88*'5.Closing Stock &amp; W Capital'!$D$14))*$C156*E$124</f>
        <v>0</v>
      </c>
      <c r="F156" s="59">
        <f>((E88*(1-'5.Closing Stock &amp; W Capital'!$D$14))+(D88*'5.Closing Stock &amp; W Capital'!$D$14))*$C$152*F$124</f>
        <v>0</v>
      </c>
      <c r="G156" s="59">
        <f>((F88*(1-'5.Closing Stock &amp; W Capital'!$D$14))+(E88*'5.Closing Stock &amp; W Capital'!$D$14))*$C$152*G$124</f>
        <v>0</v>
      </c>
      <c r="H156" s="59">
        <f>((G88*(1-'5.Closing Stock &amp; W Capital'!$D$14))+(F88*'5.Closing Stock &amp; W Capital'!$D$14))*$C$152*H$124</f>
        <v>0</v>
      </c>
      <c r="I156" s="59">
        <f>((H88*(1-'5.Closing Stock &amp; W Capital'!$D$14))+(G88*'5.Closing Stock &amp; W Capital'!$D$14))*$C$152*I$124</f>
        <v>0</v>
      </c>
      <c r="J156" s="59">
        <f>((I88*(1-'5.Closing Stock &amp; W Capital'!$D$14))+(H88*'5.Closing Stock &amp; W Capital'!$D$14))*$C$152*J$124</f>
        <v>0</v>
      </c>
      <c r="K156" s="52"/>
      <c r="U156" s="52"/>
      <c r="V156" s="52"/>
      <c r="W156" s="52"/>
    </row>
    <row r="157" spans="1:23" ht="15.75" customHeight="1">
      <c r="A157" s="57" t="str">
        <f t="shared" si="54"/>
        <v>Chilli</v>
      </c>
      <c r="B157" s="57"/>
      <c r="C157" s="58"/>
      <c r="D157" s="59">
        <f>(C89*(1-'5.Closing Stock &amp; W Capital'!$D$14))*$C157*D$124</f>
        <v>0</v>
      </c>
      <c r="E157" s="59">
        <f>((D89*(1-'5.Closing Stock &amp; W Capital'!$D$14))+(C89*'5.Closing Stock &amp; W Capital'!$D$14))*$C157*E$124</f>
        <v>0</v>
      </c>
      <c r="F157" s="59">
        <f>((E89*(1-'5.Closing Stock &amp; W Capital'!$D$14))+(D89*'5.Closing Stock &amp; W Capital'!$D$14))*$C$152*F$124</f>
        <v>0</v>
      </c>
      <c r="G157" s="59">
        <f>((F89*(1-'5.Closing Stock &amp; W Capital'!$D$14))+(E89*'5.Closing Stock &amp; W Capital'!$D$14))*$C$152*G$124</f>
        <v>0</v>
      </c>
      <c r="H157" s="59">
        <f>((G89*(1-'5.Closing Stock &amp; W Capital'!$D$14))+(F89*'5.Closing Stock &amp; W Capital'!$D$14))*$C$152*H$124</f>
        <v>0</v>
      </c>
      <c r="I157" s="59">
        <f>((H89*(1-'5.Closing Stock &amp; W Capital'!$D$14))+(G89*'5.Closing Stock &amp; W Capital'!$D$14))*$C$152*I$124</f>
        <v>0</v>
      </c>
      <c r="J157" s="59">
        <f>((I89*(1-'5.Closing Stock &amp; W Capital'!$D$14))+(H89*'5.Closing Stock &amp; W Capital'!$D$14))*$C$152*J$124</f>
        <v>0</v>
      </c>
      <c r="K157" s="52"/>
      <c r="U157" s="52"/>
      <c r="V157" s="52"/>
      <c r="W157" s="52"/>
    </row>
    <row r="158" spans="1:23" ht="15.75" customHeight="1">
      <c r="A158" s="57" t="str">
        <f t="shared" si="54"/>
        <v>Potato</v>
      </c>
      <c r="B158" s="57"/>
      <c r="C158" s="58"/>
      <c r="D158" s="59">
        <f>(C90*(1-'5.Closing Stock &amp; W Capital'!$D$14))*$C158*D$124</f>
        <v>0</v>
      </c>
      <c r="E158" s="59">
        <f>((D90*(1-'5.Closing Stock &amp; W Capital'!$D$14))+(C90*'5.Closing Stock &amp; W Capital'!$D$14))*$C158*E$124</f>
        <v>0</v>
      </c>
      <c r="F158" s="59">
        <f>((E90*(1-'5.Closing Stock &amp; W Capital'!$D$14))+(D90*'5.Closing Stock &amp; W Capital'!$D$14))*$C$152*F$124</f>
        <v>0</v>
      </c>
      <c r="G158" s="59">
        <f>((F90*(1-'5.Closing Stock &amp; W Capital'!$D$14))+(E90*'5.Closing Stock &amp; W Capital'!$D$14))*$C$152*G$124</f>
        <v>0</v>
      </c>
      <c r="H158" s="59">
        <f>((G90*(1-'5.Closing Stock &amp; W Capital'!$D$14))+(F90*'5.Closing Stock &amp; W Capital'!$D$14))*$C$152*H$124</f>
        <v>0</v>
      </c>
      <c r="I158" s="59">
        <f>((H90*(1-'5.Closing Stock &amp; W Capital'!$D$14))+(G90*'5.Closing Stock &amp; W Capital'!$D$14))*$C$152*I$124</f>
        <v>0</v>
      </c>
      <c r="J158" s="59">
        <f>((I90*(1-'5.Closing Stock &amp; W Capital'!$D$14))+(H90*'5.Closing Stock &amp; W Capital'!$D$14))*$C$152*J$124</f>
        <v>0</v>
      </c>
      <c r="K158" s="52"/>
      <c r="U158" s="52"/>
      <c r="V158" s="52"/>
      <c r="W158" s="52"/>
    </row>
    <row r="159" spans="1:23" ht="15.75" customHeight="1">
      <c r="A159" s="57">
        <f t="shared" si="54"/>
        <v>0</v>
      </c>
      <c r="B159" s="57"/>
      <c r="C159" s="58"/>
      <c r="D159" s="59">
        <f>(C91*(1-'5.Closing Stock &amp; W Capital'!$D$14))*$C159*D$124</f>
        <v>0</v>
      </c>
      <c r="E159" s="59">
        <f>((D91*(1-'5.Closing Stock &amp; W Capital'!$D$14))+(C91*'5.Closing Stock &amp; W Capital'!$D$14))*$C159*E$124</f>
        <v>0</v>
      </c>
      <c r="F159" s="59">
        <f>((E91*(1-'5.Closing Stock &amp; W Capital'!$D$14))+(D91*'5.Closing Stock &amp; W Capital'!$D$14))*$C$152*F$124</f>
        <v>0</v>
      </c>
      <c r="G159" s="59">
        <f>((F91*(1-'5.Closing Stock &amp; W Capital'!$D$14))+(E91*'5.Closing Stock &amp; W Capital'!$D$14))*$C$152*G$124</f>
        <v>0</v>
      </c>
      <c r="H159" s="59">
        <f>((G91*(1-'5.Closing Stock &amp; W Capital'!$D$14))+(F91*'5.Closing Stock &amp; W Capital'!$D$14))*$C$152*H$124</f>
        <v>0</v>
      </c>
      <c r="I159" s="59">
        <f>((H91*(1-'5.Closing Stock &amp; W Capital'!$D$14))+(G91*'5.Closing Stock &amp; W Capital'!$D$14))*$C$152*I$124</f>
        <v>0</v>
      </c>
      <c r="J159" s="59">
        <f>((I91*(1-'5.Closing Stock &amp; W Capital'!$D$14))+(H91*'5.Closing Stock &amp; W Capital'!$D$14))*$C$152*J$124</f>
        <v>0</v>
      </c>
      <c r="K159" s="52"/>
      <c r="U159" s="52"/>
      <c r="V159" s="52"/>
      <c r="W159" s="52"/>
    </row>
    <row r="160" spans="1:23" ht="15.75" customHeight="1">
      <c r="A160" s="57">
        <f t="shared" si="54"/>
        <v>0</v>
      </c>
      <c r="B160" s="57"/>
      <c r="C160" s="58"/>
      <c r="D160" s="59">
        <f>(C92*(1-'5.Closing Stock &amp; W Capital'!$D$14))*$C160*D$124</f>
        <v>0</v>
      </c>
      <c r="E160" s="59">
        <f>((D92*(1-'5.Closing Stock &amp; W Capital'!$D$14))+(C92*'5.Closing Stock &amp; W Capital'!$D$14))*$C160*E$124</f>
        <v>0</v>
      </c>
      <c r="F160" s="59">
        <f>((E92*(1-'5.Closing Stock &amp; W Capital'!$D$14))+(D92*'5.Closing Stock &amp; W Capital'!$D$14))*$C$152*F$124</f>
        <v>0</v>
      </c>
      <c r="G160" s="59">
        <f>((F92*(1-'5.Closing Stock &amp; W Capital'!$D$14))+(E92*'5.Closing Stock &amp; W Capital'!$D$14))*$C$152*G$124</f>
        <v>0</v>
      </c>
      <c r="H160" s="59">
        <f>((G92*(1-'5.Closing Stock &amp; W Capital'!$D$14))+(F92*'5.Closing Stock &amp; W Capital'!$D$14))*$C$152*H$124</f>
        <v>0</v>
      </c>
      <c r="I160" s="59">
        <f>((H92*(1-'5.Closing Stock &amp; W Capital'!$D$14))+(G92*'5.Closing Stock &amp; W Capital'!$D$14))*$C$152*I$124</f>
        <v>0</v>
      </c>
      <c r="J160" s="59">
        <f>((I92*(1-'5.Closing Stock &amp; W Capital'!$D$14))+(H92*'5.Closing Stock &amp; W Capital'!$D$14))*$C$152*J$124</f>
        <v>0</v>
      </c>
      <c r="K160" s="52"/>
      <c r="U160" s="52"/>
      <c r="V160" s="52"/>
      <c r="W160" s="52"/>
    </row>
    <row r="161" spans="1:23" ht="15.75" customHeight="1">
      <c r="A161" s="57">
        <f t="shared" si="54"/>
        <v>0</v>
      </c>
      <c r="B161" s="57"/>
      <c r="C161" s="58"/>
      <c r="D161" s="59">
        <f>(C93*(1-'5.Closing Stock &amp; W Capital'!$D$14))*$C161*D$124</f>
        <v>0</v>
      </c>
      <c r="E161" s="59">
        <f>((D93*(1-'5.Closing Stock &amp; W Capital'!$D$14))+(C93*'5.Closing Stock &amp; W Capital'!$D$14))*$C161*E$124</f>
        <v>0</v>
      </c>
      <c r="F161" s="59">
        <f>((E93*(1-'5.Closing Stock &amp; W Capital'!$D$14))+(D93*'5.Closing Stock &amp; W Capital'!$D$14))*$C$152*F$124</f>
        <v>0</v>
      </c>
      <c r="G161" s="59">
        <f>((F93*(1-'5.Closing Stock &amp; W Capital'!$D$14))+(E93*'5.Closing Stock &amp; W Capital'!$D$14))*$C$152*G$124</f>
        <v>0</v>
      </c>
      <c r="H161" s="59">
        <f>((G93*(1-'5.Closing Stock &amp; W Capital'!$D$14))+(F93*'5.Closing Stock &amp; W Capital'!$D$14))*$C$152*H$124</f>
        <v>0</v>
      </c>
      <c r="I161" s="59">
        <f>((H93*(1-'5.Closing Stock &amp; W Capital'!$D$14))+(G93*'5.Closing Stock &amp; W Capital'!$D$14))*$C$152*I$124</f>
        <v>0</v>
      </c>
      <c r="J161" s="59">
        <f>((I93*(1-'5.Closing Stock &amp; W Capital'!$D$14))+(H93*'5.Closing Stock &amp; W Capital'!$D$14))*$C$152*J$124</f>
        <v>0</v>
      </c>
      <c r="K161" s="52"/>
      <c r="U161" s="52"/>
      <c r="V161" s="52"/>
      <c r="W161" s="52"/>
    </row>
    <row r="162" spans="1:23" ht="15.75" customHeight="1">
      <c r="A162" s="57">
        <f t="shared" si="54"/>
        <v>0</v>
      </c>
      <c r="B162" s="57"/>
      <c r="C162" s="58"/>
      <c r="D162" s="59">
        <f>(C94*(1-'5.Closing Stock &amp; W Capital'!$D$14))*$C162*D$124</f>
        <v>0</v>
      </c>
      <c r="E162" s="59">
        <f>((D94*(1-'5.Closing Stock &amp; W Capital'!$D$14))+(C94*'5.Closing Stock &amp; W Capital'!$D$14))*$C162*E$124</f>
        <v>0</v>
      </c>
      <c r="F162" s="59">
        <f>((E94*(1-'5.Closing Stock &amp; W Capital'!$D$14))+(D94*'5.Closing Stock &amp; W Capital'!$D$14))*$C$152*F$124</f>
        <v>0</v>
      </c>
      <c r="G162" s="59">
        <f>((F94*(1-'5.Closing Stock &amp; W Capital'!$D$14))+(E94*'5.Closing Stock &amp; W Capital'!$D$14))*$C$152*G$124</f>
        <v>0</v>
      </c>
      <c r="H162" s="59">
        <f>((G94*(1-'5.Closing Stock &amp; W Capital'!$D$14))+(F94*'5.Closing Stock &amp; W Capital'!$D$14))*$C$152*H$124</f>
        <v>0</v>
      </c>
      <c r="I162" s="59">
        <f>((H94*(1-'5.Closing Stock &amp; W Capital'!$D$14))+(G94*'5.Closing Stock &amp; W Capital'!$D$14))*$C$152*I$124</f>
        <v>0</v>
      </c>
      <c r="J162" s="59">
        <f>((I94*(1-'5.Closing Stock &amp; W Capital'!$D$14))+(H94*'5.Closing Stock &amp; W Capital'!$D$14))*$C$152*J$124</f>
        <v>0</v>
      </c>
      <c r="K162" s="52"/>
      <c r="U162" s="52"/>
      <c r="V162" s="52"/>
      <c r="W162" s="52"/>
    </row>
    <row r="163" spans="1:23" ht="15.75" customHeight="1">
      <c r="A163" s="57" t="str">
        <f t="shared" si="54"/>
        <v>Onion</v>
      </c>
      <c r="B163" s="57"/>
      <c r="C163" s="58"/>
      <c r="D163" s="59">
        <f>(C95*(1-'5.Closing Stock &amp; W Capital'!$D$14))*$C163*D$124</f>
        <v>0</v>
      </c>
      <c r="E163" s="59">
        <f>((D95*(1-'5.Closing Stock &amp; W Capital'!$D$14))+(C95*'5.Closing Stock &amp; W Capital'!$D$14))*$C163*E$124</f>
        <v>0</v>
      </c>
      <c r="F163" s="59">
        <f>((E95*(1-'5.Closing Stock &amp; W Capital'!$D$14))+(D95*'5.Closing Stock &amp; W Capital'!$D$14))*$C$152*F$124</f>
        <v>0</v>
      </c>
      <c r="G163" s="59">
        <f>((F95*(1-'5.Closing Stock &amp; W Capital'!$D$14))+(E95*'5.Closing Stock &amp; W Capital'!$D$14))*$C$152*G$124</f>
        <v>0</v>
      </c>
      <c r="H163" s="59">
        <f>((G95*(1-'5.Closing Stock &amp; W Capital'!$D$14))+(F95*'5.Closing Stock &amp; W Capital'!$D$14))*$C$152*H$124</f>
        <v>0</v>
      </c>
      <c r="I163" s="59">
        <f>((H95*(1-'5.Closing Stock &amp; W Capital'!$D$14))+(G95*'5.Closing Stock &amp; W Capital'!$D$14))*$C$152*I$124</f>
        <v>0</v>
      </c>
      <c r="J163" s="59">
        <f>((I95*(1-'5.Closing Stock &amp; W Capital'!$D$14))+(H95*'5.Closing Stock &amp; W Capital'!$D$14))*$C$152*J$124</f>
        <v>0</v>
      </c>
      <c r="K163" s="52"/>
      <c r="U163" s="52"/>
      <c r="V163" s="52"/>
      <c r="W163" s="52"/>
    </row>
    <row r="164" spans="1:23" ht="15.75" customHeight="1">
      <c r="A164" s="57" t="str">
        <f t="shared" si="54"/>
        <v>Tomato</v>
      </c>
      <c r="B164" s="57"/>
      <c r="C164" s="58"/>
      <c r="D164" s="59">
        <f>(C96*(1-'5.Closing Stock &amp; W Capital'!$D$14))*$C164*D$124</f>
        <v>0</v>
      </c>
      <c r="E164" s="59">
        <f>((D96*(1-'5.Closing Stock &amp; W Capital'!$D$14))+(C96*'5.Closing Stock &amp; W Capital'!$D$14))*$C164*E$124</f>
        <v>0</v>
      </c>
      <c r="F164" s="59">
        <f>((E96*(1-'5.Closing Stock &amp; W Capital'!$D$14))+(D96*'5.Closing Stock &amp; W Capital'!$D$14))*$C$152*F$124</f>
        <v>0</v>
      </c>
      <c r="G164" s="59">
        <f>((F96*(1-'5.Closing Stock &amp; W Capital'!$D$14))+(E96*'5.Closing Stock &amp; W Capital'!$D$14))*$C$152*G$124</f>
        <v>0</v>
      </c>
      <c r="H164" s="59">
        <f>((G96*(1-'5.Closing Stock &amp; W Capital'!$D$14))+(F96*'5.Closing Stock &amp; W Capital'!$D$14))*$C$152*H$124</f>
        <v>0</v>
      </c>
      <c r="I164" s="59">
        <f>((H96*(1-'5.Closing Stock &amp; W Capital'!$D$14))+(G96*'5.Closing Stock &amp; W Capital'!$D$14))*$C$152*I$124</f>
        <v>0</v>
      </c>
      <c r="J164" s="59">
        <f>((I96*(1-'5.Closing Stock &amp; W Capital'!$D$14))+(H96*'5.Closing Stock &amp; W Capital'!$D$14))*$C$152*J$124</f>
        <v>0</v>
      </c>
      <c r="K164" s="52"/>
      <c r="U164" s="52"/>
      <c r="V164" s="52"/>
      <c r="W164" s="52"/>
    </row>
    <row r="165" spans="1:23" ht="15.75" customHeight="1">
      <c r="A165" s="57" t="str">
        <f t="shared" si="54"/>
        <v>Okra</v>
      </c>
      <c r="B165" s="57"/>
      <c r="C165" s="58"/>
      <c r="D165" s="59">
        <f>(C97*(1-'5.Closing Stock &amp; W Capital'!$D$14))*$C165*D$124</f>
        <v>0</v>
      </c>
      <c r="E165" s="59">
        <f>((D97*(1-'5.Closing Stock &amp; W Capital'!$D$14))+(C97*'5.Closing Stock &amp; W Capital'!$D$14))*$C165*E$124</f>
        <v>0</v>
      </c>
      <c r="F165" s="59">
        <f>((E97*(1-'5.Closing Stock &amp; W Capital'!$D$14))+(D97*'5.Closing Stock &amp; W Capital'!$D$14))*$C$152*F$124</f>
        <v>0</v>
      </c>
      <c r="G165" s="59">
        <f>((F97*(1-'5.Closing Stock &amp; W Capital'!$D$14))+(E97*'5.Closing Stock &amp; W Capital'!$D$14))*$C$152*G$124</f>
        <v>0</v>
      </c>
      <c r="H165" s="59">
        <f>((G97*(1-'5.Closing Stock &amp; W Capital'!$D$14))+(F97*'5.Closing Stock &amp; W Capital'!$D$14))*$C$152*H$124</f>
        <v>0</v>
      </c>
      <c r="I165" s="59">
        <f>((H97*(1-'5.Closing Stock &amp; W Capital'!$D$14))+(G97*'5.Closing Stock &amp; W Capital'!$D$14))*$C$152*I$124</f>
        <v>0</v>
      </c>
      <c r="J165" s="59">
        <f>((I97*(1-'5.Closing Stock &amp; W Capital'!$D$14))+(H97*'5.Closing Stock &amp; W Capital'!$D$14))*$C$152*J$124</f>
        <v>0</v>
      </c>
      <c r="K165" s="52"/>
      <c r="U165" s="52"/>
      <c r="V165" s="52"/>
      <c r="W165" s="52"/>
    </row>
    <row r="166" spans="1:23" ht="15.75" customHeight="1">
      <c r="A166" s="57" t="str">
        <f t="shared" si="54"/>
        <v>Chilli</v>
      </c>
      <c r="B166" s="57"/>
      <c r="C166" s="58"/>
      <c r="D166" s="59">
        <f>(C98*(1-'5.Closing Stock &amp; W Capital'!$D$14))*$C166*D$124</f>
        <v>0</v>
      </c>
      <c r="E166" s="59">
        <f>((D98*(1-'5.Closing Stock &amp; W Capital'!$D$14))+(C98*'5.Closing Stock &amp; W Capital'!$D$14))*$C166*E$124</f>
        <v>0</v>
      </c>
      <c r="F166" s="59">
        <f>((E98*(1-'5.Closing Stock &amp; W Capital'!$D$14))+(D98*'5.Closing Stock &amp; W Capital'!$D$14))*$C$152*F$124</f>
        <v>0</v>
      </c>
      <c r="G166" s="59">
        <f>((F98*(1-'5.Closing Stock &amp; W Capital'!$D$14))+(E98*'5.Closing Stock &amp; W Capital'!$D$14))*$C$152*G$124</f>
        <v>0</v>
      </c>
      <c r="H166" s="59">
        <f>((G98*(1-'5.Closing Stock &amp; W Capital'!$D$14))+(F98*'5.Closing Stock &amp; W Capital'!$D$14))*$C$152*H$124</f>
        <v>0</v>
      </c>
      <c r="I166" s="59">
        <f>((H98*(1-'5.Closing Stock &amp; W Capital'!$D$14))+(G98*'5.Closing Stock &amp; W Capital'!$D$14))*$C$152*I$124</f>
        <v>0</v>
      </c>
      <c r="J166" s="59">
        <f>((I98*(1-'5.Closing Stock &amp; W Capital'!$D$14))+(H98*'5.Closing Stock &amp; W Capital'!$D$14))*$C$152*J$124</f>
        <v>0</v>
      </c>
      <c r="K166" s="52"/>
      <c r="U166" s="52"/>
      <c r="V166" s="52"/>
      <c r="W166" s="52"/>
    </row>
    <row r="167" spans="1:23" ht="15.75" customHeight="1">
      <c r="A167" s="57" t="str">
        <f t="shared" si="54"/>
        <v>Brinjal</v>
      </c>
      <c r="B167" s="57"/>
      <c r="C167" s="58"/>
      <c r="D167" s="59">
        <f>(C99*(1-'5.Closing Stock &amp; W Capital'!$D$14))*$C167*D$124</f>
        <v>0</v>
      </c>
      <c r="E167" s="59">
        <f>((D99*(1-'5.Closing Stock &amp; W Capital'!$D$14))+(C99*'5.Closing Stock &amp; W Capital'!$D$14))*$C167*E$124</f>
        <v>0</v>
      </c>
      <c r="F167" s="59">
        <f>((E99*(1-'5.Closing Stock &amp; W Capital'!$D$14))+(D99*'5.Closing Stock &amp; W Capital'!$D$14))*$C$152*F$124</f>
        <v>0</v>
      </c>
      <c r="G167" s="59">
        <f>((F99*(1-'5.Closing Stock &amp; W Capital'!$D$14))+(E99*'5.Closing Stock &amp; W Capital'!$D$14))*$C$152*G$124</f>
        <v>0</v>
      </c>
      <c r="H167" s="59">
        <f>((G99*(1-'5.Closing Stock &amp; W Capital'!$D$14))+(F99*'5.Closing Stock &amp; W Capital'!$D$14))*$C$152*H$124</f>
        <v>0</v>
      </c>
      <c r="I167" s="59">
        <f>((H99*(1-'5.Closing Stock &amp; W Capital'!$D$14))+(G99*'5.Closing Stock &amp; W Capital'!$D$14))*$C$152*I$124</f>
        <v>0</v>
      </c>
      <c r="J167" s="59">
        <f>((I99*(1-'5.Closing Stock &amp; W Capital'!$D$14))+(H99*'5.Closing Stock &amp; W Capital'!$D$14))*$C$152*J$124</f>
        <v>0</v>
      </c>
      <c r="K167" s="52"/>
      <c r="U167" s="52"/>
      <c r="V167" s="52"/>
      <c r="W167" s="52"/>
    </row>
    <row r="168" spans="1:23" ht="15.75" customHeight="1">
      <c r="A168" s="57">
        <f t="shared" si="54"/>
        <v>0</v>
      </c>
      <c r="B168" s="57"/>
      <c r="C168" s="58"/>
      <c r="D168" s="59">
        <f>(C100*(1-'5.Closing Stock &amp; W Capital'!$D$14))*$C168*D$124</f>
        <v>0</v>
      </c>
      <c r="E168" s="59">
        <f>((D100*(1-'5.Closing Stock &amp; W Capital'!$D$14))+(C100*'5.Closing Stock &amp; W Capital'!$D$14))*$C168*E$124</f>
        <v>0</v>
      </c>
      <c r="F168" s="59">
        <f>((E100*(1-'5.Closing Stock &amp; W Capital'!$D$14))+(D100*'5.Closing Stock &amp; W Capital'!$D$14))*$C$152*F$124</f>
        <v>0</v>
      </c>
      <c r="G168" s="59">
        <f>((F100*(1-'5.Closing Stock &amp; W Capital'!$D$14))+(E100*'5.Closing Stock &amp; W Capital'!$D$14))*$C$152*G$124</f>
        <v>0</v>
      </c>
      <c r="H168" s="59">
        <f>((G100*(1-'5.Closing Stock &amp; W Capital'!$D$14))+(F100*'5.Closing Stock &amp; W Capital'!$D$14))*$C$152*H$124</f>
        <v>0</v>
      </c>
      <c r="I168" s="59">
        <f>((H100*(1-'5.Closing Stock &amp; W Capital'!$D$14))+(G100*'5.Closing Stock &amp; W Capital'!$D$14))*$C$152*I$124</f>
        <v>0</v>
      </c>
      <c r="J168" s="59">
        <f>((I100*(1-'5.Closing Stock &amp; W Capital'!$D$14))+(H100*'5.Closing Stock &amp; W Capital'!$D$14))*$C$152*J$124</f>
        <v>0</v>
      </c>
      <c r="K168" s="52"/>
      <c r="U168" s="52"/>
      <c r="V168" s="52"/>
      <c r="W168" s="52"/>
    </row>
    <row r="169" spans="1:23" ht="15.75" customHeight="1">
      <c r="A169" s="57">
        <f t="shared" si="54"/>
        <v>0</v>
      </c>
      <c r="B169" s="57"/>
      <c r="C169" s="58"/>
      <c r="D169" s="59">
        <f>(C101*(1-'5.Closing Stock &amp; W Capital'!$D$14))*$C169*D$124</f>
        <v>0</v>
      </c>
      <c r="E169" s="59">
        <f>((D101*(1-'5.Closing Stock &amp; W Capital'!$D$14))+(C101*'5.Closing Stock &amp; W Capital'!$D$14))*$C169*E$124</f>
        <v>0</v>
      </c>
      <c r="F169" s="59">
        <f>((E101*(1-'5.Closing Stock &amp; W Capital'!$D$14))+(D101*'5.Closing Stock &amp; W Capital'!$D$14))*$C$152*F$124</f>
        <v>0</v>
      </c>
      <c r="G169" s="59">
        <f>((F101*(1-'5.Closing Stock &amp; W Capital'!$D$14))+(E101*'5.Closing Stock &amp; W Capital'!$D$14))*$C$152*G$124</f>
        <v>0</v>
      </c>
      <c r="H169" s="59">
        <f>((G101*(1-'5.Closing Stock &amp; W Capital'!$D$14))+(F101*'5.Closing Stock &amp; W Capital'!$D$14))*$C$152*H$124</f>
        <v>0</v>
      </c>
      <c r="I169" s="59">
        <f>((H101*(1-'5.Closing Stock &amp; W Capital'!$D$14))+(G101*'5.Closing Stock &amp; W Capital'!$D$14))*$C$152*I$124</f>
        <v>0</v>
      </c>
      <c r="J169" s="59">
        <f>((I101*(1-'5.Closing Stock &amp; W Capital'!$D$14))+(H101*'5.Closing Stock &amp; W Capital'!$D$14))*$C$152*J$124</f>
        <v>0</v>
      </c>
      <c r="K169" s="52"/>
      <c r="U169" s="52"/>
      <c r="V169" s="52"/>
      <c r="W169" s="52"/>
    </row>
    <row r="170" spans="1:23" ht="15.75" customHeight="1">
      <c r="A170" s="57">
        <f t="shared" si="54"/>
        <v>0</v>
      </c>
      <c r="B170" s="57"/>
      <c r="C170" s="58"/>
      <c r="D170" s="59">
        <f>(C102*(1-'5.Closing Stock &amp; W Capital'!$D$14))*$C170*D$124</f>
        <v>0</v>
      </c>
      <c r="E170" s="59">
        <f>((D102*(1-'5.Closing Stock &amp; W Capital'!$D$14))+(C102*'5.Closing Stock &amp; W Capital'!$D$14))*$C170*E$124</f>
        <v>0</v>
      </c>
      <c r="F170" s="59">
        <f>((E102*(1-'5.Closing Stock &amp; W Capital'!$D$14))+(D102*'5.Closing Stock &amp; W Capital'!$D$14))*$C$152*F$124</f>
        <v>0</v>
      </c>
      <c r="G170" s="59">
        <f>((F102*(1-'5.Closing Stock &amp; W Capital'!$D$14))+(E102*'5.Closing Stock &amp; W Capital'!$D$14))*$C$152*G$124</f>
        <v>0</v>
      </c>
      <c r="H170" s="59">
        <f>((G102*(1-'5.Closing Stock &amp; W Capital'!$D$14))+(F102*'5.Closing Stock &amp; W Capital'!$D$14))*$C$152*H$124</f>
        <v>0</v>
      </c>
      <c r="I170" s="59">
        <f>((H102*(1-'5.Closing Stock &amp; W Capital'!$D$14))+(G102*'5.Closing Stock &amp; W Capital'!$D$14))*$C$152*I$124</f>
        <v>0</v>
      </c>
      <c r="J170" s="59">
        <f>((I102*(1-'5.Closing Stock &amp; W Capital'!$D$14))+(H102*'5.Closing Stock &amp; W Capital'!$D$14))*$C$152*J$124</f>
        <v>0</v>
      </c>
      <c r="K170" s="52"/>
      <c r="U170" s="52"/>
      <c r="V170" s="52"/>
      <c r="W170" s="52"/>
    </row>
    <row r="171" spans="1:23" ht="15.75" customHeight="1">
      <c r="A171" s="57">
        <f t="shared" si="54"/>
        <v>0</v>
      </c>
      <c r="B171" s="57"/>
      <c r="C171" s="58"/>
      <c r="D171" s="59">
        <f>(C103*(1-'5.Closing Stock &amp; W Capital'!$D$14))*$C171*D$124</f>
        <v>0</v>
      </c>
      <c r="E171" s="59">
        <f>((D103*(1-'5.Closing Stock &amp; W Capital'!$D$14))+(C103*'5.Closing Stock &amp; W Capital'!$D$14))*$C171*E$124</f>
        <v>0</v>
      </c>
      <c r="F171" s="59">
        <f>((E103*(1-'5.Closing Stock &amp; W Capital'!$D$14))+(D103*'5.Closing Stock &amp; W Capital'!$D$14))*$C$152*F$124</f>
        <v>0</v>
      </c>
      <c r="G171" s="59">
        <f>((F103*(1-'5.Closing Stock &amp; W Capital'!$D$14))+(E103*'5.Closing Stock &amp; W Capital'!$D$14))*$C$152*G$124</f>
        <v>0</v>
      </c>
      <c r="H171" s="59">
        <f>((G103*(1-'5.Closing Stock &amp; W Capital'!$D$14))+(F103*'5.Closing Stock &amp; W Capital'!$D$14))*$C$152*H$124</f>
        <v>0</v>
      </c>
      <c r="I171" s="59">
        <f>((H103*(1-'5.Closing Stock &amp; W Capital'!$D$14))+(G103*'5.Closing Stock &amp; W Capital'!$D$14))*$C$152*I$124</f>
        <v>0</v>
      </c>
      <c r="J171" s="59">
        <f>((I103*(1-'5.Closing Stock &amp; W Capital'!$D$14))+(H103*'5.Closing Stock &amp; W Capital'!$D$14))*$C$152*J$124</f>
        <v>0</v>
      </c>
      <c r="K171" s="52"/>
      <c r="U171" s="52"/>
      <c r="V171" s="52"/>
      <c r="W171" s="52"/>
    </row>
    <row r="172" spans="1:23" ht="15.75" customHeight="1">
      <c r="A172" s="57">
        <f t="shared" si="54"/>
        <v>0</v>
      </c>
      <c r="B172" s="57"/>
      <c r="C172" s="58"/>
      <c r="D172" s="59">
        <f>(C104*(1-'5.Closing Stock &amp; W Capital'!$D$14))*$C172*D$124</f>
        <v>0</v>
      </c>
      <c r="E172" s="59">
        <f>((D104*(1-'5.Closing Stock &amp; W Capital'!$D$14))+(C104*'5.Closing Stock &amp; W Capital'!$D$14))*$C172*E$124</f>
        <v>0</v>
      </c>
      <c r="F172" s="59">
        <f>((E104*(1-'5.Closing Stock &amp; W Capital'!$D$14))+(D104*'5.Closing Stock &amp; W Capital'!$D$14))*$C$152*F$124</f>
        <v>0</v>
      </c>
      <c r="G172" s="59">
        <f>((F104*(1-'5.Closing Stock &amp; W Capital'!$D$14))+(E104*'5.Closing Stock &amp; W Capital'!$D$14))*$C$152*G$124</f>
        <v>0</v>
      </c>
      <c r="H172" s="59">
        <f>((G104*(1-'5.Closing Stock &amp; W Capital'!$D$14))+(F104*'5.Closing Stock &amp; W Capital'!$D$14))*$C$152*H$124</f>
        <v>0</v>
      </c>
      <c r="I172" s="59">
        <f>((H104*(1-'5.Closing Stock &amp; W Capital'!$D$14))+(G104*'5.Closing Stock &amp; W Capital'!$D$14))*$C$152*I$124</f>
        <v>0</v>
      </c>
      <c r="J172" s="59">
        <f>((I104*(1-'5.Closing Stock &amp; W Capital'!$D$14))+(H104*'5.Closing Stock &amp; W Capital'!$D$14))*$C$152*J$124</f>
        <v>0</v>
      </c>
      <c r="K172" s="52"/>
      <c r="U172" s="52"/>
      <c r="V172" s="52"/>
      <c r="W172" s="52"/>
    </row>
    <row r="173" spans="1:23" ht="15.75" customHeight="1">
      <c r="A173" s="57">
        <f t="shared" si="54"/>
        <v>0</v>
      </c>
      <c r="B173" s="57"/>
      <c r="C173" s="58"/>
      <c r="D173" s="59">
        <f>(C105*(1-'5.Closing Stock &amp; W Capital'!$D$14))*$C173*D$124</f>
        <v>0</v>
      </c>
      <c r="E173" s="59">
        <f>((D105*(1-'5.Closing Stock &amp; W Capital'!$D$14))+(C105*'5.Closing Stock &amp; W Capital'!$D$14))*$C173*E$124</f>
        <v>0</v>
      </c>
      <c r="F173" s="59">
        <f>((E105*(1-'5.Closing Stock &amp; W Capital'!$D$14))+(D105*'5.Closing Stock &amp; W Capital'!$D$14))*$C$152*F$124</f>
        <v>0</v>
      </c>
      <c r="G173" s="59">
        <f>((F105*(1-'5.Closing Stock &amp; W Capital'!$D$14))+(E105*'5.Closing Stock &amp; W Capital'!$D$14))*$C$152*G$124</f>
        <v>0</v>
      </c>
      <c r="H173" s="59">
        <f>((G105*(1-'5.Closing Stock &amp; W Capital'!$D$14))+(F105*'5.Closing Stock &amp; W Capital'!$D$14))*$C$152*H$124</f>
        <v>0</v>
      </c>
      <c r="I173" s="59">
        <f>((H105*(1-'5.Closing Stock &amp; W Capital'!$D$14))+(G105*'5.Closing Stock &amp; W Capital'!$D$14))*$C$152*I$124</f>
        <v>0</v>
      </c>
      <c r="J173" s="59">
        <f>((I105*(1-'5.Closing Stock &amp; W Capital'!$D$14))+(H105*'5.Closing Stock &amp; W Capital'!$D$14))*$C$152*J$124</f>
        <v>0</v>
      </c>
      <c r="K173" s="52"/>
      <c r="U173" s="52"/>
      <c r="V173" s="52"/>
      <c r="W173" s="52"/>
    </row>
    <row r="174" spans="1:23" ht="15.75" customHeight="1">
      <c r="A174" s="57">
        <f t="shared" si="54"/>
        <v>0</v>
      </c>
      <c r="B174" s="57"/>
      <c r="C174" s="58"/>
      <c r="D174" s="59">
        <f>(C106*(1-'5.Closing Stock &amp; W Capital'!$D$14))*$C174*D$124</f>
        <v>0</v>
      </c>
      <c r="E174" s="59">
        <f>((D106*(1-'5.Closing Stock &amp; W Capital'!$D$14))+(C106*'5.Closing Stock &amp; W Capital'!$D$14))*$C174*E$124</f>
        <v>0</v>
      </c>
      <c r="F174" s="59">
        <f>((E106*(1-'5.Closing Stock &amp; W Capital'!$D$14))+(D106*'5.Closing Stock &amp; W Capital'!$D$14))*$C$152*F$124</f>
        <v>0</v>
      </c>
      <c r="G174" s="59">
        <f>((F106*(1-'5.Closing Stock &amp; W Capital'!$D$14))+(E106*'5.Closing Stock &amp; W Capital'!$D$14))*$C$152*G$124</f>
        <v>0</v>
      </c>
      <c r="H174" s="59">
        <f>((G106*(1-'5.Closing Stock &amp; W Capital'!$D$14))+(F106*'5.Closing Stock &amp; W Capital'!$D$14))*$C$152*H$124</f>
        <v>0</v>
      </c>
      <c r="I174" s="59">
        <f>((H106*(1-'5.Closing Stock &amp; W Capital'!$D$14))+(G106*'5.Closing Stock &amp; W Capital'!$D$14))*$C$152*I$124</f>
        <v>0</v>
      </c>
      <c r="J174" s="59">
        <f>((I106*(1-'5.Closing Stock &amp; W Capital'!$D$14))+(H106*'5.Closing Stock &amp; W Capital'!$D$14))*$C$152*J$124</f>
        <v>0</v>
      </c>
      <c r="K174" s="52"/>
      <c r="U174" s="52"/>
      <c r="V174" s="52"/>
      <c r="W174" s="52"/>
    </row>
    <row r="175" spans="1:23" ht="15.75" customHeight="1">
      <c r="A175" s="57" t="str">
        <f t="shared" si="54"/>
        <v>Pomegranate</v>
      </c>
      <c r="B175" s="57"/>
      <c r="C175" s="58"/>
      <c r="D175" s="59">
        <f>(C107*(1-'5.Closing Stock &amp; W Capital'!$D$14))*$C175*D$124</f>
        <v>0</v>
      </c>
      <c r="E175" s="59">
        <f>((D107*(1-'5.Closing Stock &amp; W Capital'!$D$14))+(C107*'5.Closing Stock &amp; W Capital'!$D$14))*$C175*E$124</f>
        <v>0</v>
      </c>
      <c r="F175" s="59">
        <f>((E107*(1-'5.Closing Stock &amp; W Capital'!$D$14))+(D107*'5.Closing Stock &amp; W Capital'!$D$14))*$C$152*F$124</f>
        <v>0</v>
      </c>
      <c r="G175" s="59">
        <f>((F107*(1-'5.Closing Stock &amp; W Capital'!$D$14))+(E107*'5.Closing Stock &amp; W Capital'!$D$14))*$C$152*G$124</f>
        <v>0</v>
      </c>
      <c r="H175" s="59">
        <f>((G107*(1-'5.Closing Stock &amp; W Capital'!$D$14))+(F107*'5.Closing Stock &amp; W Capital'!$D$14))*$C$152*H$124</f>
        <v>0</v>
      </c>
      <c r="I175" s="59">
        <f>((H107*(1-'5.Closing Stock &amp; W Capital'!$D$14))+(G107*'5.Closing Stock &amp; W Capital'!$D$14))*$C$152*I$124</f>
        <v>0</v>
      </c>
      <c r="J175" s="59">
        <f>((I107*(1-'5.Closing Stock &amp; W Capital'!$D$14))+(H107*'5.Closing Stock &amp; W Capital'!$D$14))*$C$152*J$124</f>
        <v>0</v>
      </c>
      <c r="K175" s="52"/>
      <c r="U175" s="52"/>
      <c r="V175" s="52"/>
      <c r="W175" s="52"/>
    </row>
    <row r="176" spans="1:23" ht="15.75" customHeight="1">
      <c r="A176" s="57" t="str">
        <f t="shared" si="54"/>
        <v>Custard Apple</v>
      </c>
      <c r="B176" s="57"/>
      <c r="C176" s="58"/>
      <c r="D176" s="59">
        <f>(C108*(1-'5.Closing Stock &amp; W Capital'!$D$14))*$C176*D$124</f>
        <v>0</v>
      </c>
      <c r="E176" s="59">
        <f>((D108*(1-'5.Closing Stock &amp; W Capital'!$D$14))+(C108*'5.Closing Stock &amp; W Capital'!$D$14))*$C176*E$124</f>
        <v>0</v>
      </c>
      <c r="F176" s="59">
        <f>((E108*(1-'5.Closing Stock &amp; W Capital'!$D$14))+(D108*'5.Closing Stock &amp; W Capital'!$D$14))*$C$152*F$124</f>
        <v>0</v>
      </c>
      <c r="G176" s="59">
        <f>((F108*(1-'5.Closing Stock &amp; W Capital'!$D$14))+(E108*'5.Closing Stock &amp; W Capital'!$D$14))*$C$152*G$124</f>
        <v>0</v>
      </c>
      <c r="H176" s="59">
        <f>((G108*(1-'5.Closing Stock &amp; W Capital'!$D$14))+(F108*'5.Closing Stock &amp; W Capital'!$D$14))*$C$152*H$124</f>
        <v>0</v>
      </c>
      <c r="I176" s="59">
        <f>((H108*(1-'5.Closing Stock &amp; W Capital'!$D$14))+(G108*'5.Closing Stock &amp; W Capital'!$D$14))*$C$152*I$124</f>
        <v>0</v>
      </c>
      <c r="J176" s="59">
        <f>((I108*(1-'5.Closing Stock &amp; W Capital'!$D$14))+(H108*'5.Closing Stock &amp; W Capital'!$D$14))*$C$152*J$124</f>
        <v>0</v>
      </c>
      <c r="K176" s="52"/>
      <c r="U176" s="52"/>
      <c r="V176" s="52"/>
      <c r="W176" s="52"/>
    </row>
    <row r="177" spans="1:23" ht="15.75" customHeight="1">
      <c r="A177" s="57" t="str">
        <f t="shared" si="54"/>
        <v>Guava</v>
      </c>
      <c r="B177" s="57"/>
      <c r="C177" s="58"/>
      <c r="D177" s="59">
        <f>(C109*(1-'5.Closing Stock &amp; W Capital'!$D$14))*$C177*D$124</f>
        <v>0</v>
      </c>
      <c r="E177" s="59">
        <f>((D109*(1-'5.Closing Stock &amp; W Capital'!$D$14))+(C109*'5.Closing Stock &amp; W Capital'!$D$14))*$C177*E$124</f>
        <v>0</v>
      </c>
      <c r="F177" s="59">
        <f>((E109*(1-'5.Closing Stock &amp; W Capital'!$D$14))+(D109*'5.Closing Stock &amp; W Capital'!$D$14))*$C$152*F$124</f>
        <v>0</v>
      </c>
      <c r="G177" s="59">
        <f>((F109*(1-'5.Closing Stock &amp; W Capital'!$D$14))+(E109*'5.Closing Stock &amp; W Capital'!$D$14))*$C$152*G$124</f>
        <v>0</v>
      </c>
      <c r="H177" s="59">
        <f>((G109*(1-'5.Closing Stock &amp; W Capital'!$D$14))+(F109*'5.Closing Stock &amp; W Capital'!$D$14))*$C$152*H$124</f>
        <v>0</v>
      </c>
      <c r="I177" s="59">
        <f>((H109*(1-'5.Closing Stock &amp; W Capital'!$D$14))+(G109*'5.Closing Stock &amp; W Capital'!$D$14))*$C$152*I$124</f>
        <v>0</v>
      </c>
      <c r="J177" s="59">
        <f>((I109*(1-'5.Closing Stock &amp; W Capital'!$D$14))+(H109*'5.Closing Stock &amp; W Capital'!$D$14))*$C$152*J$124</f>
        <v>0</v>
      </c>
      <c r="K177" s="52"/>
      <c r="U177" s="52"/>
      <c r="V177" s="52"/>
      <c r="W177" s="52"/>
    </row>
    <row r="178" spans="1:23" ht="15.75" customHeight="1">
      <c r="A178" s="57" t="str">
        <f t="shared" si="54"/>
        <v>Citrus</v>
      </c>
      <c r="B178" s="57"/>
      <c r="C178" s="58"/>
      <c r="D178" s="59">
        <f>(C110*(1-'5.Closing Stock &amp; W Capital'!$D$14))*$C178*D$124</f>
        <v>0</v>
      </c>
      <c r="E178" s="59">
        <f>((D110*(1-'5.Closing Stock &amp; W Capital'!$D$14))+(C110*'5.Closing Stock &amp; W Capital'!$D$14))*$C178*E$124</f>
        <v>0</v>
      </c>
      <c r="F178" s="59">
        <f>((E110*(1-'5.Closing Stock &amp; W Capital'!$D$14))+(D110*'5.Closing Stock &amp; W Capital'!$D$14))*$C$152*F$124</f>
        <v>0</v>
      </c>
      <c r="G178" s="59">
        <f>((F110*(1-'5.Closing Stock &amp; W Capital'!$D$14))+(E110*'5.Closing Stock &amp; W Capital'!$D$14))*$C$152*G$124</f>
        <v>0</v>
      </c>
      <c r="H178" s="59">
        <f>((G110*(1-'5.Closing Stock &amp; W Capital'!$D$14))+(F110*'5.Closing Stock &amp; W Capital'!$D$14))*$C$152*H$124</f>
        <v>0</v>
      </c>
      <c r="I178" s="59">
        <f>((H110*(1-'5.Closing Stock &amp; W Capital'!$D$14))+(G110*'5.Closing Stock &amp; W Capital'!$D$14))*$C$152*I$124</f>
        <v>0</v>
      </c>
      <c r="J178" s="59">
        <f>((I110*(1-'5.Closing Stock &amp; W Capital'!$D$14))+(H110*'5.Closing Stock &amp; W Capital'!$D$14))*$C$152*J$124</f>
        <v>0</v>
      </c>
      <c r="K178" s="52"/>
      <c r="U178" s="52"/>
      <c r="V178" s="52"/>
      <c r="W178" s="52"/>
    </row>
    <row r="179" spans="1:23" ht="15.75" customHeight="1">
      <c r="A179" s="57">
        <f t="shared" si="54"/>
        <v>0</v>
      </c>
      <c r="B179" s="57"/>
      <c r="C179" s="58"/>
      <c r="D179" s="59"/>
      <c r="E179" s="59"/>
      <c r="F179" s="59"/>
      <c r="G179" s="59"/>
      <c r="H179" s="59"/>
      <c r="I179" s="59"/>
      <c r="J179" s="59"/>
      <c r="K179" s="52"/>
      <c r="U179" s="52"/>
      <c r="V179" s="52"/>
      <c r="W179" s="52"/>
    </row>
    <row r="180" spans="1:23" ht="15.75" customHeight="1">
      <c r="A180" s="57"/>
      <c r="B180" s="57"/>
      <c r="C180" s="59"/>
      <c r="D180" s="59"/>
      <c r="E180" s="59"/>
      <c r="F180" s="59"/>
      <c r="G180" s="59"/>
      <c r="H180" s="59"/>
      <c r="I180" s="59"/>
      <c r="J180" s="59"/>
      <c r="K180" s="52"/>
      <c r="U180" s="52"/>
      <c r="V180" s="52"/>
      <c r="W180" s="52"/>
    </row>
    <row r="181" spans="1:23" ht="15.75" customHeight="1">
      <c r="A181" s="57" t="s">
        <v>678</v>
      </c>
      <c r="B181" s="57"/>
      <c r="C181" s="59"/>
      <c r="D181" s="59"/>
      <c r="E181" s="59"/>
      <c r="F181" s="59"/>
      <c r="G181" s="59"/>
      <c r="H181" s="59"/>
      <c r="I181" s="59"/>
      <c r="J181" s="59"/>
      <c r="K181" s="52"/>
      <c r="U181" s="52"/>
      <c r="V181" s="52"/>
      <c r="W181" s="52"/>
    </row>
    <row r="182" spans="1:23" ht="15.75" customHeight="1">
      <c r="A182" s="57" t="s">
        <v>670</v>
      </c>
      <c r="B182" s="57"/>
      <c r="C182" s="58">
        <f>350/50</f>
        <v>7</v>
      </c>
      <c r="D182" s="59">
        <f>(C114*(1-'5.Closing Stock &amp; W Capital'!$D$14))*$C$182*D124</f>
        <v>0</v>
      </c>
      <c r="E182" s="59">
        <f>((D114*(1-'5.Closing Stock &amp; W Capital'!$D$14))+(C114*'5.Closing Stock &amp; W Capital'!$D$14))*$C$182*E124</f>
        <v>0</v>
      </c>
      <c r="F182" s="59">
        <f>((E114*(1-'5.Closing Stock &amp; W Capital'!$D$14))+(D114*'5.Closing Stock &amp; W Capital'!$D$14))*$C$182*F124</f>
        <v>0</v>
      </c>
      <c r="G182" s="59">
        <f>((F114*(1-'5.Closing Stock &amp; W Capital'!$D$14))+(E114*'5.Closing Stock &amp; W Capital'!$D$14))*$C$182*G124</f>
        <v>0</v>
      </c>
      <c r="H182" s="59">
        <f>((G114*(1-'5.Closing Stock &amp; W Capital'!$D$14))+(F114*'5.Closing Stock &amp; W Capital'!$D$14))*$C$182*H124</f>
        <v>0</v>
      </c>
      <c r="I182" s="59">
        <f>((H114*(1-'5.Closing Stock &amp; W Capital'!$D$14))+(G114*'5.Closing Stock &amp; W Capital'!$D$14))*$C$182*I124</f>
        <v>0</v>
      </c>
      <c r="J182" s="59">
        <f>((I114*(1-'5.Closing Stock &amp; W Capital'!$D$14))+(H114*'5.Closing Stock &amp; W Capital'!$D$14))*$C$182*J124</f>
        <v>0</v>
      </c>
      <c r="K182" s="52"/>
      <c r="U182" s="52"/>
      <c r="V182" s="52"/>
      <c r="W182" s="52"/>
    </row>
    <row r="183" spans="1:23" ht="15.75" customHeight="1">
      <c r="A183" s="57" t="s">
        <v>671</v>
      </c>
      <c r="B183" s="57"/>
      <c r="C183" s="58">
        <v>8</v>
      </c>
      <c r="D183" s="59">
        <f>(C115*(1-'5.Closing Stock &amp; W Capital'!$D$14))*$C$183*D124</f>
        <v>0</v>
      </c>
      <c r="E183" s="59">
        <f>((D115*(1-'5.Closing Stock &amp; W Capital'!$D$14))+(C115*'5.Closing Stock &amp; W Capital'!$D$14))*$C$183*E124</f>
        <v>0</v>
      </c>
      <c r="F183" s="59">
        <f>((E115*(1-'5.Closing Stock &amp; W Capital'!$D$14))+(D115*'5.Closing Stock &amp; W Capital'!$D$14))*$C$183*F124</f>
        <v>0</v>
      </c>
      <c r="G183" s="59">
        <f>((F115*(1-'5.Closing Stock &amp; W Capital'!$D$14))+(E115*'5.Closing Stock &amp; W Capital'!$D$14))*$C$183*G124</f>
        <v>0</v>
      </c>
      <c r="H183" s="59">
        <f>((G115*(1-'5.Closing Stock &amp; W Capital'!$D$14))+(F115*'5.Closing Stock &amp; W Capital'!$D$14))*$C$183*H124</f>
        <v>0</v>
      </c>
      <c r="I183" s="59">
        <f>((H115*(1-'5.Closing Stock &amp; W Capital'!$D$14))+(G115*'5.Closing Stock &amp; W Capital'!$D$14))*$C$183*I124</f>
        <v>0</v>
      </c>
      <c r="J183" s="59">
        <f>((I115*(1-'5.Closing Stock &amp; W Capital'!$D$14))+(H115*'5.Closing Stock &amp; W Capital'!$D$14))*$C$183*J124</f>
        <v>0</v>
      </c>
      <c r="K183" s="52"/>
      <c r="U183" s="52"/>
      <c r="V183" s="52"/>
      <c r="W183" s="52"/>
    </row>
    <row r="184" spans="1:23" ht="15.75" customHeight="1">
      <c r="A184" s="57" t="s">
        <v>672</v>
      </c>
      <c r="B184" s="57"/>
      <c r="C184" s="58">
        <v>30</v>
      </c>
      <c r="D184" s="59">
        <f>(C116*(1-'5.Closing Stock &amp; W Capital'!$D$14))*$C$184*D124</f>
        <v>0</v>
      </c>
      <c r="E184" s="59">
        <f>((D116*(1-'5.Closing Stock &amp; W Capital'!$D$14))+(C116*'5.Closing Stock &amp; W Capital'!$D$14))*$C$184*E124</f>
        <v>0</v>
      </c>
      <c r="F184" s="59">
        <f>((E116*(1-'5.Closing Stock &amp; W Capital'!$D$14))+(D116*'5.Closing Stock &amp; W Capital'!$D$14))*$C$184*F124</f>
        <v>0</v>
      </c>
      <c r="G184" s="59">
        <f>((F116*(1-'5.Closing Stock &amp; W Capital'!$D$14))+(E116*'5.Closing Stock &amp; W Capital'!$D$14))*$C$184*G124</f>
        <v>0</v>
      </c>
      <c r="H184" s="59">
        <f>((G116*(1-'5.Closing Stock &amp; W Capital'!$D$14))+(F116*'5.Closing Stock &amp; W Capital'!$D$14))*$C$184*H124</f>
        <v>0</v>
      </c>
      <c r="I184" s="59">
        <f>((H116*(1-'5.Closing Stock &amp; W Capital'!$D$14))+(G116*'5.Closing Stock &amp; W Capital'!$D$14))*$C$184*I124</f>
        <v>0</v>
      </c>
      <c r="J184" s="59">
        <f>((I116*(1-'5.Closing Stock &amp; W Capital'!$D$14))+(H116*'5.Closing Stock &amp; W Capital'!$D$14))*$C$184*J124</f>
        <v>0</v>
      </c>
      <c r="K184" s="52"/>
      <c r="U184" s="52"/>
      <c r="V184" s="52"/>
      <c r="W184" s="52"/>
    </row>
    <row r="185" spans="1:23" ht="15.75" customHeight="1">
      <c r="A185" s="57"/>
      <c r="B185" s="57"/>
      <c r="C185" s="59"/>
      <c r="D185" s="59"/>
      <c r="E185" s="59"/>
      <c r="F185" s="59"/>
      <c r="G185" s="59"/>
      <c r="H185" s="59"/>
      <c r="I185" s="59"/>
      <c r="J185" s="59"/>
      <c r="K185" s="52"/>
      <c r="U185" s="52"/>
      <c r="V185" s="52"/>
      <c r="W185" s="52"/>
    </row>
    <row r="186" spans="1:23" ht="15.75" customHeight="1">
      <c r="A186" s="57" t="s">
        <v>673</v>
      </c>
      <c r="B186" s="57"/>
      <c r="C186" s="59"/>
      <c r="D186" s="59"/>
      <c r="E186" s="59"/>
      <c r="F186" s="59"/>
      <c r="G186" s="59"/>
      <c r="H186" s="59"/>
      <c r="I186" s="59"/>
      <c r="J186" s="59"/>
      <c r="K186" s="52"/>
      <c r="U186" s="52"/>
      <c r="V186" s="52"/>
      <c r="W186" s="52"/>
    </row>
    <row r="187" spans="1:23" ht="15.75" customHeight="1">
      <c r="A187" s="57" t="s">
        <v>674</v>
      </c>
      <c r="B187" s="57"/>
      <c r="C187" s="58">
        <v>3000</v>
      </c>
      <c r="D187" s="59">
        <f>(C118*(1-'5.Closing Stock &amp; W Capital'!$D$14))*$C$187*D124</f>
        <v>0</v>
      </c>
      <c r="E187" s="59">
        <f>((D118*(1-'5.Closing Stock &amp; W Capital'!$D$14))+(C118*'5.Closing Stock &amp; W Capital'!$D$14))*$C$187*E124</f>
        <v>0</v>
      </c>
      <c r="F187" s="59">
        <f>((E118*(1-'5.Closing Stock &amp; W Capital'!$D$14))+(D118*'5.Closing Stock &amp; W Capital'!$D$14))*$C$187*F124</f>
        <v>0</v>
      </c>
      <c r="G187" s="59">
        <f>((F118*(1-'5.Closing Stock &amp; W Capital'!$D$14))+(E118*'5.Closing Stock &amp; W Capital'!$D$14))*$C$187*G124</f>
        <v>0</v>
      </c>
      <c r="H187" s="59">
        <f>((G118*(1-'5.Closing Stock &amp; W Capital'!$D$14))+(F118*'5.Closing Stock &amp; W Capital'!$D$14))*$C$187*H124</f>
        <v>0</v>
      </c>
      <c r="I187" s="59">
        <f>((H118*(1-'5.Closing Stock &amp; W Capital'!$D$14))+(G118*'5.Closing Stock &amp; W Capital'!$D$14))*$C$187*I124</f>
        <v>0</v>
      </c>
      <c r="J187" s="59">
        <f>((I118*(1-'5.Closing Stock &amp; W Capital'!$D$14))+(H118*'5.Closing Stock &amp; W Capital'!$D$14))*$C$187*J124</f>
        <v>0</v>
      </c>
      <c r="K187" s="52"/>
      <c r="U187" s="187"/>
      <c r="V187" s="187"/>
      <c r="W187" s="187"/>
    </row>
    <row r="188" spans="1:23" ht="15.75" customHeight="1">
      <c r="A188" s="57" t="s">
        <v>675</v>
      </c>
      <c r="B188" s="57"/>
      <c r="C188" s="58">
        <v>2200</v>
      </c>
      <c r="D188" s="59">
        <f>(C119*(1-'5.Closing Stock &amp; W Capital'!$D$14))*$C$188*D124</f>
        <v>0</v>
      </c>
      <c r="E188" s="59">
        <f>((D119*(1-'5.Closing Stock &amp; W Capital'!$D$14))+(C119*'5.Closing Stock &amp; W Capital'!$D$14))*$C$188*E124</f>
        <v>0</v>
      </c>
      <c r="F188" s="59">
        <f>((E119*(1-'5.Closing Stock &amp; W Capital'!$D$14))+(D119*'5.Closing Stock &amp; W Capital'!$D$14))*$C$188*F124</f>
        <v>0</v>
      </c>
      <c r="G188" s="59">
        <f>((F119*(1-'5.Closing Stock &amp; W Capital'!$D$14))+(E119*'5.Closing Stock &amp; W Capital'!$D$14))*$C$188*G124</f>
        <v>0</v>
      </c>
      <c r="H188" s="59">
        <f>((G119*(1-'5.Closing Stock &amp; W Capital'!$D$14))+(F119*'5.Closing Stock &amp; W Capital'!$D$14))*$C$188*H124</f>
        <v>0</v>
      </c>
      <c r="I188" s="59">
        <f>((H119*(1-'5.Closing Stock &amp; W Capital'!$D$14))+(G119*'5.Closing Stock &amp; W Capital'!$D$14))*$C$188*I124</f>
        <v>0</v>
      </c>
      <c r="J188" s="59">
        <f>((I119*(1-'5.Closing Stock &amp; W Capital'!$D$14))+(H119*'5.Closing Stock &amp; W Capital'!$D$14))*$C$188*J124</f>
        <v>0</v>
      </c>
      <c r="K188" s="52"/>
      <c r="U188" s="52"/>
      <c r="V188" s="52"/>
      <c r="W188" s="52"/>
    </row>
    <row r="189" spans="1:23" ht="15.75" customHeight="1">
      <c r="A189" s="57"/>
      <c r="B189" s="57"/>
      <c r="C189" s="59"/>
      <c r="D189" s="59"/>
      <c r="E189" s="59"/>
      <c r="F189" s="59"/>
      <c r="G189" s="59"/>
      <c r="H189" s="59"/>
      <c r="I189" s="59"/>
      <c r="J189" s="59"/>
      <c r="K189" s="52"/>
      <c r="U189" s="52"/>
      <c r="V189" s="52"/>
      <c r="W189" s="52"/>
    </row>
    <row r="190" spans="1:23" ht="15.75" customHeight="1">
      <c r="A190" s="57"/>
      <c r="B190" s="57"/>
      <c r="C190" s="59"/>
      <c r="D190" s="59"/>
      <c r="E190" s="59"/>
      <c r="F190" s="59"/>
      <c r="G190" s="59"/>
      <c r="H190" s="59"/>
      <c r="I190" s="59"/>
      <c r="J190" s="59"/>
      <c r="K190" s="52"/>
      <c r="U190" s="52"/>
      <c r="V190" s="52"/>
      <c r="W190" s="52"/>
    </row>
    <row r="191" spans="1:23" ht="15.75" customHeight="1">
      <c r="A191" s="60" t="s">
        <v>351</v>
      </c>
      <c r="B191" s="60"/>
      <c r="C191" s="61"/>
      <c r="D191" s="61">
        <f t="shared" ref="D191:J191" si="55">SUM(D130:D188)</f>
        <v>0</v>
      </c>
      <c r="E191" s="61">
        <f t="shared" si="55"/>
        <v>0</v>
      </c>
      <c r="F191" s="61">
        <f t="shared" si="55"/>
        <v>0</v>
      </c>
      <c r="G191" s="61">
        <f t="shared" si="55"/>
        <v>0</v>
      </c>
      <c r="H191" s="61">
        <f t="shared" si="55"/>
        <v>0</v>
      </c>
      <c r="I191" s="61">
        <f t="shared" si="55"/>
        <v>0</v>
      </c>
      <c r="J191" s="61">
        <f t="shared" si="55"/>
        <v>0</v>
      </c>
      <c r="K191" s="52"/>
      <c r="U191" s="52"/>
      <c r="V191" s="52"/>
      <c r="W191" s="52"/>
    </row>
    <row r="192" spans="1:23" ht="15.75" customHeight="1">
      <c r="A192" s="57"/>
      <c r="B192" s="57"/>
      <c r="C192" s="59"/>
      <c r="D192" s="59"/>
      <c r="E192" s="59"/>
      <c r="F192" s="59"/>
      <c r="G192" s="59"/>
      <c r="H192" s="59"/>
      <c r="I192" s="59"/>
      <c r="J192" s="59"/>
      <c r="K192" s="52"/>
      <c r="U192" s="52"/>
      <c r="V192" s="52"/>
      <c r="W192" s="52"/>
    </row>
    <row r="193" spans="1:23" ht="15.75" customHeight="1">
      <c r="A193" s="57"/>
      <c r="B193" s="57"/>
      <c r="C193" s="59"/>
      <c r="D193" s="59"/>
      <c r="E193" s="59"/>
      <c r="F193" s="59"/>
      <c r="G193" s="59"/>
      <c r="H193" s="59"/>
      <c r="I193" s="59"/>
      <c r="J193" s="59"/>
      <c r="K193" s="52"/>
      <c r="U193" s="52"/>
      <c r="V193" s="52"/>
      <c r="W193" s="52"/>
    </row>
    <row r="194" spans="1:23" ht="15.75" customHeight="1">
      <c r="A194" s="60" t="s">
        <v>581</v>
      </c>
      <c r="B194" s="60"/>
      <c r="C194" s="59"/>
      <c r="D194" s="59"/>
      <c r="E194" s="59"/>
      <c r="F194" s="59"/>
      <c r="G194" s="59"/>
      <c r="H194" s="59"/>
      <c r="I194" s="59"/>
      <c r="J194" s="59"/>
      <c r="K194" s="52"/>
      <c r="U194" s="52"/>
      <c r="V194" s="52"/>
      <c r="W194" s="52"/>
    </row>
    <row r="195" spans="1:23" ht="15.75" customHeight="1">
      <c r="A195" s="60" t="str">
        <f>A128</f>
        <v>Seeds (Rate/KG)</v>
      </c>
      <c r="B195" s="60"/>
      <c r="C195" s="59"/>
      <c r="D195" s="59"/>
      <c r="E195" s="59"/>
      <c r="F195" s="59"/>
      <c r="G195" s="59"/>
      <c r="H195" s="59"/>
      <c r="I195" s="59"/>
      <c r="J195" s="59"/>
      <c r="K195" s="52"/>
      <c r="U195" s="52"/>
      <c r="V195" s="52"/>
      <c r="W195" s="52"/>
    </row>
    <row r="196" spans="1:23" ht="15.75" customHeight="1">
      <c r="A196" s="52" t="s">
        <v>352</v>
      </c>
      <c r="B196" s="52"/>
      <c r="C196" s="52"/>
      <c r="D196" s="52"/>
      <c r="E196" s="52"/>
      <c r="F196" s="52"/>
      <c r="G196" s="52"/>
      <c r="H196" s="52"/>
      <c r="I196" s="52"/>
      <c r="J196" s="52"/>
      <c r="K196" s="52"/>
      <c r="U196" s="52"/>
      <c r="V196" s="52"/>
      <c r="W196" s="52"/>
    </row>
    <row r="197" spans="1:23" ht="15.75" customHeight="1">
      <c r="A197" s="57" t="str">
        <f t="shared" ref="A197:A238" si="56">A130</f>
        <v>Soybean</v>
      </c>
      <c r="B197" s="52"/>
      <c r="C197" s="58">
        <v>85</v>
      </c>
      <c r="D197" s="59">
        <f t="shared" ref="D197:J197" si="57">C62*$C197*D$124</f>
        <v>0</v>
      </c>
      <c r="E197" s="59">
        <f t="shared" si="57"/>
        <v>0</v>
      </c>
      <c r="F197" s="59">
        <f t="shared" si="57"/>
        <v>0</v>
      </c>
      <c r="G197" s="59">
        <f t="shared" si="57"/>
        <v>0</v>
      </c>
      <c r="H197" s="59">
        <f t="shared" si="57"/>
        <v>0</v>
      </c>
      <c r="I197" s="59">
        <f t="shared" si="57"/>
        <v>0</v>
      </c>
      <c r="J197" s="59">
        <f t="shared" si="57"/>
        <v>0</v>
      </c>
      <c r="K197" s="52"/>
      <c r="U197" s="52"/>
      <c r="V197" s="52"/>
      <c r="W197" s="52"/>
    </row>
    <row r="198" spans="1:23" ht="15.75" customHeight="1">
      <c r="A198" s="57" t="str">
        <f t="shared" si="56"/>
        <v>Red Gram/Tur</v>
      </c>
      <c r="B198" s="57"/>
      <c r="C198" s="58">
        <v>75</v>
      </c>
      <c r="D198" s="59">
        <f t="shared" ref="D198:J198" si="58">C63*$C198*D$124</f>
        <v>0</v>
      </c>
      <c r="E198" s="59">
        <f t="shared" si="58"/>
        <v>0</v>
      </c>
      <c r="F198" s="59">
        <f t="shared" si="58"/>
        <v>0</v>
      </c>
      <c r="G198" s="59">
        <f t="shared" si="58"/>
        <v>0</v>
      </c>
      <c r="H198" s="59">
        <f t="shared" si="58"/>
        <v>0</v>
      </c>
      <c r="I198" s="59">
        <f t="shared" si="58"/>
        <v>0</v>
      </c>
      <c r="J198" s="59">
        <f t="shared" si="58"/>
        <v>0</v>
      </c>
      <c r="K198" s="52"/>
      <c r="U198" s="52"/>
      <c r="V198" s="52"/>
      <c r="W198" s="52"/>
    </row>
    <row r="199" spans="1:23" ht="15.75" customHeight="1">
      <c r="A199" s="57" t="str">
        <f t="shared" si="56"/>
        <v>Paddy/Rice</v>
      </c>
      <c r="B199" s="57"/>
      <c r="C199" s="58">
        <v>57</v>
      </c>
      <c r="D199" s="59">
        <f t="shared" ref="D199:J199" si="59">C64*$C199*D$124</f>
        <v>0</v>
      </c>
      <c r="E199" s="59">
        <f t="shared" si="59"/>
        <v>0</v>
      </c>
      <c r="F199" s="59">
        <f t="shared" si="59"/>
        <v>0</v>
      </c>
      <c r="G199" s="59">
        <f t="shared" si="59"/>
        <v>0</v>
      </c>
      <c r="H199" s="59">
        <f t="shared" si="59"/>
        <v>0</v>
      </c>
      <c r="I199" s="59">
        <f t="shared" si="59"/>
        <v>0</v>
      </c>
      <c r="J199" s="59">
        <f t="shared" si="59"/>
        <v>0</v>
      </c>
      <c r="K199" s="52"/>
      <c r="U199" s="52"/>
      <c r="V199" s="52"/>
      <c r="W199" s="52"/>
    </row>
    <row r="200" spans="1:23" ht="15.75" customHeight="1">
      <c r="A200" s="57" t="str">
        <f t="shared" si="56"/>
        <v>Green Gram/ Moong</v>
      </c>
      <c r="B200" s="57"/>
      <c r="C200" s="58">
        <v>80</v>
      </c>
      <c r="D200" s="59">
        <f t="shared" ref="D200:J200" si="60">C65*$C200*D$124</f>
        <v>0</v>
      </c>
      <c r="E200" s="59">
        <f t="shared" si="60"/>
        <v>0</v>
      </c>
      <c r="F200" s="59">
        <f t="shared" si="60"/>
        <v>0</v>
      </c>
      <c r="G200" s="59">
        <f t="shared" si="60"/>
        <v>0</v>
      </c>
      <c r="H200" s="59">
        <f t="shared" si="60"/>
        <v>0</v>
      </c>
      <c r="I200" s="59">
        <f t="shared" si="60"/>
        <v>0</v>
      </c>
      <c r="J200" s="59">
        <f t="shared" si="60"/>
        <v>0</v>
      </c>
      <c r="K200" s="52"/>
      <c r="L200" s="52"/>
      <c r="M200" s="52"/>
      <c r="N200" s="52"/>
      <c r="O200" s="52"/>
      <c r="P200" s="52"/>
      <c r="Q200" s="52"/>
      <c r="R200" s="52"/>
      <c r="S200" s="52"/>
      <c r="T200" s="52"/>
      <c r="U200" s="52"/>
      <c r="V200" s="52"/>
      <c r="W200" s="52"/>
    </row>
    <row r="201" spans="1:23" ht="15.75" customHeight="1">
      <c r="A201" s="57" t="str">
        <f t="shared" si="56"/>
        <v>Maize</v>
      </c>
      <c r="B201" s="57"/>
      <c r="C201" s="58">
        <v>25</v>
      </c>
      <c r="D201" s="59">
        <f t="shared" ref="D201:J201" si="61">C66*$C201*D$124</f>
        <v>0</v>
      </c>
      <c r="E201" s="59">
        <f t="shared" si="61"/>
        <v>0</v>
      </c>
      <c r="F201" s="59">
        <f t="shared" si="61"/>
        <v>0</v>
      </c>
      <c r="G201" s="59">
        <f t="shared" si="61"/>
        <v>0</v>
      </c>
      <c r="H201" s="59">
        <f t="shared" si="61"/>
        <v>0</v>
      </c>
      <c r="I201" s="59">
        <f t="shared" si="61"/>
        <v>0</v>
      </c>
      <c r="J201" s="59">
        <f t="shared" si="61"/>
        <v>0</v>
      </c>
      <c r="K201" s="52"/>
      <c r="L201" s="52"/>
      <c r="M201" s="52"/>
      <c r="N201" s="52"/>
      <c r="O201" s="52"/>
      <c r="P201" s="52"/>
      <c r="Q201" s="52"/>
      <c r="R201" s="52"/>
      <c r="S201" s="52"/>
      <c r="T201" s="52"/>
      <c r="U201" s="52"/>
      <c r="V201" s="52"/>
      <c r="W201" s="52"/>
    </row>
    <row r="202" spans="1:23" ht="15.75" customHeight="1">
      <c r="A202" s="57" t="str">
        <f t="shared" si="56"/>
        <v>Black Gram/Udid</v>
      </c>
      <c r="B202" s="57"/>
      <c r="C202" s="58">
        <v>70</v>
      </c>
      <c r="D202" s="59">
        <f t="shared" ref="D202:J202" si="62">C67*$C202*D$124</f>
        <v>0</v>
      </c>
      <c r="E202" s="59">
        <f t="shared" si="62"/>
        <v>0</v>
      </c>
      <c r="F202" s="59">
        <f t="shared" si="62"/>
        <v>0</v>
      </c>
      <c r="G202" s="59">
        <f t="shared" si="62"/>
        <v>0</v>
      </c>
      <c r="H202" s="59">
        <f t="shared" si="62"/>
        <v>0</v>
      </c>
      <c r="I202" s="59">
        <f t="shared" si="62"/>
        <v>0</v>
      </c>
      <c r="J202" s="59">
        <f t="shared" si="62"/>
        <v>0</v>
      </c>
      <c r="K202" s="52"/>
      <c r="L202" s="52"/>
      <c r="M202" s="52"/>
      <c r="N202" s="52"/>
      <c r="O202" s="52"/>
      <c r="P202" s="52"/>
      <c r="Q202" s="52"/>
      <c r="R202" s="52"/>
      <c r="S202" s="52"/>
      <c r="T202" s="52"/>
      <c r="U202" s="52"/>
      <c r="V202" s="52"/>
      <c r="W202" s="52"/>
    </row>
    <row r="203" spans="1:23" ht="15.75" customHeight="1">
      <c r="A203" s="57" t="str">
        <f t="shared" si="56"/>
        <v>Bajra</v>
      </c>
      <c r="B203" s="57"/>
      <c r="C203" s="58">
        <v>25</v>
      </c>
      <c r="D203" s="59">
        <f t="shared" ref="D203:J203" si="63">C68*$C203*D$124</f>
        <v>0</v>
      </c>
      <c r="E203" s="59">
        <f t="shared" si="63"/>
        <v>0</v>
      </c>
      <c r="F203" s="59">
        <f t="shared" si="63"/>
        <v>0</v>
      </c>
      <c r="G203" s="59">
        <f t="shared" si="63"/>
        <v>0</v>
      </c>
      <c r="H203" s="59">
        <f t="shared" si="63"/>
        <v>0</v>
      </c>
      <c r="I203" s="59">
        <f t="shared" si="63"/>
        <v>0</v>
      </c>
      <c r="J203" s="59">
        <f t="shared" si="63"/>
        <v>0</v>
      </c>
      <c r="K203" s="52"/>
      <c r="L203" s="52"/>
      <c r="M203" s="52"/>
      <c r="N203" s="52"/>
      <c r="O203" s="52"/>
      <c r="P203" s="52"/>
      <c r="Q203" s="52"/>
      <c r="R203" s="52"/>
      <c r="S203" s="52"/>
      <c r="T203" s="52"/>
      <c r="U203" s="52"/>
      <c r="V203" s="52"/>
      <c r="W203" s="52"/>
    </row>
    <row r="204" spans="1:23" ht="15.75" customHeight="1">
      <c r="A204" s="57" t="str">
        <f t="shared" si="56"/>
        <v>Jawar</v>
      </c>
      <c r="B204" s="57"/>
      <c r="C204" s="58">
        <v>25</v>
      </c>
      <c r="D204" s="59">
        <f t="shared" ref="D204:J204" si="64">C69*$C204*D$124</f>
        <v>0</v>
      </c>
      <c r="E204" s="59">
        <f t="shared" si="64"/>
        <v>0</v>
      </c>
      <c r="F204" s="59">
        <f t="shared" si="64"/>
        <v>0</v>
      </c>
      <c r="G204" s="59">
        <f t="shared" si="64"/>
        <v>0</v>
      </c>
      <c r="H204" s="59">
        <f t="shared" si="64"/>
        <v>0</v>
      </c>
      <c r="I204" s="59">
        <f t="shared" si="64"/>
        <v>0</v>
      </c>
      <c r="J204" s="59">
        <f t="shared" si="64"/>
        <v>0</v>
      </c>
      <c r="K204" s="52"/>
      <c r="L204" s="52"/>
      <c r="M204" s="52"/>
      <c r="N204" s="52"/>
      <c r="O204" s="52"/>
      <c r="P204" s="52"/>
      <c r="Q204" s="52"/>
      <c r="R204" s="52"/>
      <c r="S204" s="52"/>
      <c r="T204" s="52"/>
      <c r="U204" s="52"/>
      <c r="V204" s="52"/>
      <c r="W204" s="52"/>
    </row>
    <row r="205" spans="1:23" ht="15.75" customHeight="1">
      <c r="A205" s="60" t="str">
        <f t="shared" si="56"/>
        <v>Rabi Crop</v>
      </c>
      <c r="B205" s="57"/>
      <c r="C205" s="58"/>
      <c r="D205" s="59">
        <f t="shared" ref="D205:J205" si="65">C70*$C205*D$124</f>
        <v>0</v>
      </c>
      <c r="E205" s="59">
        <f t="shared" si="65"/>
        <v>0</v>
      </c>
      <c r="F205" s="59">
        <f t="shared" si="65"/>
        <v>0</v>
      </c>
      <c r="G205" s="59">
        <f t="shared" si="65"/>
        <v>0</v>
      </c>
      <c r="H205" s="59">
        <f t="shared" si="65"/>
        <v>0</v>
      </c>
      <c r="I205" s="59">
        <f t="shared" si="65"/>
        <v>0</v>
      </c>
      <c r="J205" s="59">
        <f t="shared" si="65"/>
        <v>0</v>
      </c>
      <c r="K205" s="52"/>
      <c r="L205" s="52"/>
      <c r="M205" s="52"/>
      <c r="N205" s="52"/>
      <c r="O205" s="52"/>
      <c r="P205" s="52"/>
      <c r="Q205" s="52"/>
      <c r="R205" s="52"/>
      <c r="S205" s="52"/>
      <c r="T205" s="52"/>
      <c r="U205" s="52"/>
      <c r="V205" s="52"/>
      <c r="W205" s="52"/>
    </row>
    <row r="206" spans="1:23" ht="15.75" customHeight="1">
      <c r="A206" s="57" t="str">
        <f t="shared" si="56"/>
        <v>Wheat</v>
      </c>
      <c r="B206" s="57"/>
      <c r="C206" s="58">
        <v>35</v>
      </c>
      <c r="D206" s="59">
        <f t="shared" ref="D206:J206" si="66">C71*$C206*D$124</f>
        <v>0</v>
      </c>
      <c r="E206" s="59">
        <f t="shared" si="66"/>
        <v>0</v>
      </c>
      <c r="F206" s="59">
        <f t="shared" si="66"/>
        <v>0</v>
      </c>
      <c r="G206" s="59">
        <f t="shared" si="66"/>
        <v>0</v>
      </c>
      <c r="H206" s="59">
        <f t="shared" si="66"/>
        <v>0</v>
      </c>
      <c r="I206" s="59">
        <f t="shared" si="66"/>
        <v>0</v>
      </c>
      <c r="J206" s="59">
        <f t="shared" si="66"/>
        <v>0</v>
      </c>
      <c r="K206" s="52"/>
      <c r="L206" s="52"/>
      <c r="M206" s="52"/>
      <c r="N206" s="52"/>
      <c r="O206" s="52"/>
      <c r="P206" s="52"/>
      <c r="Q206" s="52"/>
      <c r="R206" s="52"/>
      <c r="S206" s="52"/>
      <c r="T206" s="52"/>
      <c r="U206" s="52"/>
      <c r="V206" s="52"/>
      <c r="W206" s="52"/>
    </row>
    <row r="207" spans="1:23" ht="15.75" customHeight="1">
      <c r="A207" s="57" t="str">
        <f t="shared" si="56"/>
        <v>Bengal Gram/Channa</v>
      </c>
      <c r="B207" s="57"/>
      <c r="C207" s="58">
        <v>70</v>
      </c>
      <c r="D207" s="59">
        <f t="shared" ref="D207:J207" si="67">C72*$C207*D$124</f>
        <v>0</v>
      </c>
      <c r="E207" s="59">
        <f t="shared" si="67"/>
        <v>0</v>
      </c>
      <c r="F207" s="59">
        <f t="shared" si="67"/>
        <v>0</v>
      </c>
      <c r="G207" s="59">
        <f t="shared" si="67"/>
        <v>0</v>
      </c>
      <c r="H207" s="59">
        <f t="shared" si="67"/>
        <v>0</v>
      </c>
      <c r="I207" s="59">
        <f t="shared" si="67"/>
        <v>0</v>
      </c>
      <c r="J207" s="59">
        <f t="shared" si="67"/>
        <v>0</v>
      </c>
      <c r="K207" s="52"/>
      <c r="L207" s="52"/>
      <c r="M207" s="52"/>
      <c r="N207" s="52"/>
      <c r="O207" s="52"/>
      <c r="P207" s="52"/>
      <c r="Q207" s="52"/>
      <c r="R207" s="52"/>
      <c r="S207" s="52"/>
      <c r="T207" s="52"/>
      <c r="U207" s="52"/>
      <c r="V207" s="52"/>
      <c r="W207" s="52"/>
    </row>
    <row r="208" spans="1:23" ht="15.75" customHeight="1">
      <c r="A208" s="57" t="str">
        <f t="shared" si="56"/>
        <v>Jawar</v>
      </c>
      <c r="B208" s="57"/>
      <c r="C208" s="58">
        <v>25</v>
      </c>
      <c r="D208" s="59">
        <f t="shared" ref="D208:J208" si="68">C73*$C208*D$124</f>
        <v>0</v>
      </c>
      <c r="E208" s="59">
        <f t="shared" si="68"/>
        <v>0</v>
      </c>
      <c r="F208" s="59">
        <f t="shared" si="68"/>
        <v>0</v>
      </c>
      <c r="G208" s="59">
        <f t="shared" si="68"/>
        <v>0</v>
      </c>
      <c r="H208" s="59">
        <f t="shared" si="68"/>
        <v>0</v>
      </c>
      <c r="I208" s="59">
        <f t="shared" si="68"/>
        <v>0</v>
      </c>
      <c r="J208" s="59">
        <f t="shared" si="68"/>
        <v>0</v>
      </c>
      <c r="K208" s="52"/>
      <c r="L208" s="52"/>
      <c r="M208" s="52"/>
      <c r="N208" s="52"/>
      <c r="O208" s="52"/>
      <c r="P208" s="52"/>
      <c r="Q208" s="52"/>
      <c r="R208" s="52"/>
      <c r="S208" s="52"/>
      <c r="T208" s="52"/>
      <c r="U208" s="52"/>
      <c r="V208" s="52"/>
      <c r="W208" s="52"/>
    </row>
    <row r="209" spans="1:23" ht="15.75" customHeight="1">
      <c r="A209" s="57" t="str">
        <f t="shared" si="56"/>
        <v>Maize</v>
      </c>
      <c r="B209" s="57"/>
      <c r="C209" s="58">
        <v>25</v>
      </c>
      <c r="D209" s="59">
        <f t="shared" ref="D209:J209" si="69">C74*$C209*D$124</f>
        <v>0</v>
      </c>
      <c r="E209" s="59">
        <f t="shared" si="69"/>
        <v>0</v>
      </c>
      <c r="F209" s="59">
        <f t="shared" si="69"/>
        <v>0</v>
      </c>
      <c r="G209" s="59">
        <f t="shared" si="69"/>
        <v>0</v>
      </c>
      <c r="H209" s="59">
        <f t="shared" si="69"/>
        <v>0</v>
      </c>
      <c r="I209" s="59">
        <f t="shared" si="69"/>
        <v>0</v>
      </c>
      <c r="J209" s="59">
        <f t="shared" si="69"/>
        <v>0</v>
      </c>
      <c r="K209" s="52"/>
      <c r="L209" s="52"/>
      <c r="M209" s="52"/>
      <c r="N209" s="52"/>
      <c r="O209" s="52"/>
      <c r="P209" s="52"/>
      <c r="Q209" s="52"/>
      <c r="R209" s="52"/>
      <c r="S209" s="52"/>
      <c r="T209" s="52"/>
      <c r="U209" s="52"/>
      <c r="V209" s="52"/>
      <c r="W209" s="52"/>
    </row>
    <row r="210" spans="1:23" ht="15.75" customHeight="1">
      <c r="A210" s="57" t="str">
        <f t="shared" si="56"/>
        <v>Safflower</v>
      </c>
      <c r="B210" s="57"/>
      <c r="C210" s="58">
        <v>25</v>
      </c>
      <c r="D210" s="59">
        <f t="shared" ref="D210:J210" si="70">C75*$C210*D$124</f>
        <v>0</v>
      </c>
      <c r="E210" s="59">
        <f t="shared" si="70"/>
        <v>0</v>
      </c>
      <c r="F210" s="59">
        <f t="shared" si="70"/>
        <v>0</v>
      </c>
      <c r="G210" s="59">
        <f t="shared" si="70"/>
        <v>0</v>
      </c>
      <c r="H210" s="59">
        <f t="shared" si="70"/>
        <v>0</v>
      </c>
      <c r="I210" s="59">
        <f t="shared" si="70"/>
        <v>0</v>
      </c>
      <c r="J210" s="59">
        <f t="shared" si="70"/>
        <v>0</v>
      </c>
      <c r="K210" s="52"/>
      <c r="L210" s="52"/>
      <c r="M210" s="52"/>
      <c r="N210" s="52"/>
      <c r="O210" s="52"/>
      <c r="P210" s="52"/>
      <c r="Q210" s="52"/>
      <c r="R210" s="52"/>
      <c r="S210" s="52"/>
      <c r="T210" s="52"/>
      <c r="U210" s="52"/>
      <c r="V210" s="52"/>
      <c r="W210" s="52"/>
    </row>
    <row r="211" spans="1:23" ht="15.75" customHeight="1">
      <c r="A211" s="57">
        <f t="shared" si="56"/>
        <v>0</v>
      </c>
      <c r="B211" s="57"/>
      <c r="C211" s="58"/>
      <c r="D211" s="59">
        <f t="shared" ref="D211:J211" si="71">C76*$C211*D$124</f>
        <v>0</v>
      </c>
      <c r="E211" s="59">
        <f t="shared" si="71"/>
        <v>0</v>
      </c>
      <c r="F211" s="59">
        <f t="shared" si="71"/>
        <v>0</v>
      </c>
      <c r="G211" s="59">
        <f t="shared" si="71"/>
        <v>0</v>
      </c>
      <c r="H211" s="59">
        <f t="shared" si="71"/>
        <v>0</v>
      </c>
      <c r="I211" s="59">
        <f t="shared" si="71"/>
        <v>0</v>
      </c>
      <c r="J211" s="59">
        <f t="shared" si="71"/>
        <v>0</v>
      </c>
      <c r="K211" s="52"/>
      <c r="L211" s="52"/>
      <c r="M211" s="52"/>
      <c r="N211" s="52"/>
      <c r="O211" s="52"/>
      <c r="P211" s="52"/>
      <c r="Q211" s="52"/>
      <c r="R211" s="52"/>
      <c r="S211" s="52"/>
      <c r="T211" s="52"/>
      <c r="U211" s="52"/>
      <c r="V211" s="52"/>
      <c r="W211" s="52"/>
    </row>
    <row r="212" spans="1:23" ht="15.75" customHeight="1">
      <c r="A212" s="57">
        <f t="shared" si="56"/>
        <v>0</v>
      </c>
      <c r="B212" s="57"/>
      <c r="C212" s="58"/>
      <c r="D212" s="59">
        <f t="shared" ref="D212:J212" si="72">C77*$C212*D$124</f>
        <v>0</v>
      </c>
      <c r="E212" s="59">
        <f t="shared" si="72"/>
        <v>0</v>
      </c>
      <c r="F212" s="59">
        <f t="shared" si="72"/>
        <v>0</v>
      </c>
      <c r="G212" s="59">
        <f t="shared" si="72"/>
        <v>0</v>
      </c>
      <c r="H212" s="59">
        <f t="shared" si="72"/>
        <v>0</v>
      </c>
      <c r="I212" s="59">
        <f t="shared" si="72"/>
        <v>0</v>
      </c>
      <c r="J212" s="59">
        <f t="shared" si="72"/>
        <v>0</v>
      </c>
      <c r="K212" s="52"/>
      <c r="L212" s="52"/>
      <c r="M212" s="52"/>
      <c r="N212" s="52"/>
      <c r="O212" s="52"/>
      <c r="P212" s="52"/>
      <c r="Q212" s="52"/>
      <c r="R212" s="52"/>
      <c r="S212" s="52"/>
      <c r="T212" s="52"/>
      <c r="U212" s="52"/>
      <c r="V212" s="52"/>
      <c r="W212" s="52"/>
    </row>
    <row r="213" spans="1:23" ht="15.75" customHeight="1">
      <c r="A213" s="57">
        <f t="shared" si="56"/>
        <v>0</v>
      </c>
      <c r="B213" s="57"/>
      <c r="C213" s="58"/>
      <c r="D213" s="59">
        <f t="shared" ref="D213:J213" si="73">C78*$C213*D$124</f>
        <v>0</v>
      </c>
      <c r="E213" s="59">
        <f t="shared" si="73"/>
        <v>0</v>
      </c>
      <c r="F213" s="59">
        <f t="shared" si="73"/>
        <v>0</v>
      </c>
      <c r="G213" s="59">
        <f t="shared" si="73"/>
        <v>0</v>
      </c>
      <c r="H213" s="59">
        <f t="shared" si="73"/>
        <v>0</v>
      </c>
      <c r="I213" s="59">
        <f t="shared" si="73"/>
        <v>0</v>
      </c>
      <c r="J213" s="59">
        <f t="shared" si="73"/>
        <v>0</v>
      </c>
      <c r="K213" s="52"/>
      <c r="L213" s="52"/>
      <c r="M213" s="52"/>
      <c r="N213" s="52"/>
      <c r="O213" s="52"/>
      <c r="P213" s="52"/>
      <c r="Q213" s="52"/>
      <c r="R213" s="52"/>
      <c r="S213" s="52"/>
      <c r="T213" s="52"/>
      <c r="U213" s="52"/>
      <c r="V213" s="52"/>
      <c r="W213" s="52"/>
    </row>
    <row r="214" spans="1:23" ht="15.75" customHeight="1">
      <c r="A214" s="57" t="str">
        <f t="shared" si="56"/>
        <v>Summer</v>
      </c>
      <c r="B214" s="57"/>
      <c r="C214" s="58"/>
      <c r="D214" s="59">
        <f t="shared" ref="D214:J214" si="74">C79*$C214*D$124</f>
        <v>0</v>
      </c>
      <c r="E214" s="59">
        <f t="shared" si="74"/>
        <v>0</v>
      </c>
      <c r="F214" s="59">
        <f t="shared" si="74"/>
        <v>0</v>
      </c>
      <c r="G214" s="59">
        <f t="shared" si="74"/>
        <v>0</v>
      </c>
      <c r="H214" s="59">
        <f t="shared" si="74"/>
        <v>0</v>
      </c>
      <c r="I214" s="59">
        <f t="shared" si="74"/>
        <v>0</v>
      </c>
      <c r="J214" s="59">
        <f t="shared" si="74"/>
        <v>0</v>
      </c>
      <c r="K214" s="52"/>
      <c r="L214" s="52"/>
      <c r="M214" s="52"/>
      <c r="N214" s="52"/>
      <c r="O214" s="52"/>
      <c r="P214" s="52"/>
      <c r="Q214" s="52"/>
      <c r="R214" s="52"/>
      <c r="S214" s="52"/>
      <c r="T214" s="52"/>
      <c r="U214" s="52"/>
      <c r="V214" s="52"/>
      <c r="W214" s="52"/>
    </row>
    <row r="215" spans="1:23" ht="15.75" customHeight="1">
      <c r="A215" s="57" t="str">
        <f t="shared" si="56"/>
        <v>Groundnut</v>
      </c>
      <c r="B215" s="57"/>
      <c r="C215" s="58"/>
      <c r="D215" s="59">
        <f t="shared" ref="D215:J215" si="75">C80*$C215*D$124</f>
        <v>0</v>
      </c>
      <c r="E215" s="59">
        <f t="shared" si="75"/>
        <v>0</v>
      </c>
      <c r="F215" s="59">
        <f t="shared" si="75"/>
        <v>0</v>
      </c>
      <c r="G215" s="59">
        <f t="shared" si="75"/>
        <v>0</v>
      </c>
      <c r="H215" s="59">
        <f t="shared" si="75"/>
        <v>0</v>
      </c>
      <c r="I215" s="59">
        <f t="shared" si="75"/>
        <v>0</v>
      </c>
      <c r="J215" s="59">
        <f t="shared" si="75"/>
        <v>0</v>
      </c>
      <c r="K215" s="52"/>
      <c r="L215" s="52"/>
      <c r="M215" s="52"/>
      <c r="N215" s="52"/>
      <c r="O215" s="52"/>
      <c r="P215" s="52"/>
      <c r="Q215" s="52"/>
      <c r="R215" s="52"/>
      <c r="S215" s="52"/>
      <c r="T215" s="52"/>
      <c r="U215" s="52"/>
      <c r="V215" s="52"/>
      <c r="W215" s="52"/>
    </row>
    <row r="216" spans="1:23" ht="15.75" customHeight="1">
      <c r="A216" s="57">
        <f t="shared" si="56"/>
        <v>0</v>
      </c>
      <c r="B216" s="57"/>
      <c r="C216" s="58"/>
      <c r="D216" s="59">
        <f t="shared" ref="D216:J216" si="76">C81*$C216*D$124</f>
        <v>0</v>
      </c>
      <c r="E216" s="59">
        <f t="shared" si="76"/>
        <v>0</v>
      </c>
      <c r="F216" s="59">
        <f t="shared" si="76"/>
        <v>0</v>
      </c>
      <c r="G216" s="59">
        <f t="shared" si="76"/>
        <v>0</v>
      </c>
      <c r="H216" s="59">
        <f t="shared" si="76"/>
        <v>0</v>
      </c>
      <c r="I216" s="59">
        <f t="shared" si="76"/>
        <v>0</v>
      </c>
      <c r="J216" s="59">
        <f t="shared" si="76"/>
        <v>0</v>
      </c>
      <c r="K216" s="52"/>
      <c r="L216" s="52"/>
      <c r="M216" s="52"/>
      <c r="N216" s="52"/>
      <c r="O216" s="52"/>
      <c r="P216" s="52"/>
      <c r="Q216" s="52"/>
      <c r="R216" s="52"/>
      <c r="S216" s="52"/>
      <c r="T216" s="52"/>
      <c r="U216" s="52"/>
      <c r="V216" s="52"/>
      <c r="W216" s="52"/>
    </row>
    <row r="217" spans="1:23" ht="15.75" customHeight="1">
      <c r="A217" s="57">
        <f t="shared" si="56"/>
        <v>0</v>
      </c>
      <c r="B217" s="57"/>
      <c r="C217" s="58"/>
      <c r="D217" s="59">
        <f t="shared" ref="D217:J217" si="77">C82*$C217*D$124</f>
        <v>0</v>
      </c>
      <c r="E217" s="59">
        <f t="shared" si="77"/>
        <v>0</v>
      </c>
      <c r="F217" s="59">
        <f t="shared" si="77"/>
        <v>0</v>
      </c>
      <c r="G217" s="59">
        <f t="shared" si="77"/>
        <v>0</v>
      </c>
      <c r="H217" s="59">
        <f t="shared" si="77"/>
        <v>0</v>
      </c>
      <c r="I217" s="59">
        <f t="shared" si="77"/>
        <v>0</v>
      </c>
      <c r="J217" s="59">
        <f t="shared" si="77"/>
        <v>0</v>
      </c>
      <c r="K217" s="52"/>
      <c r="L217" s="52"/>
      <c r="M217" s="52"/>
      <c r="N217" s="52"/>
      <c r="O217" s="52"/>
      <c r="P217" s="52"/>
      <c r="Q217" s="52"/>
      <c r="R217" s="52"/>
      <c r="S217" s="52"/>
      <c r="T217" s="52"/>
      <c r="U217" s="52"/>
      <c r="V217" s="52"/>
      <c r="W217" s="52"/>
    </row>
    <row r="218" spans="1:23" ht="15.75" customHeight="1">
      <c r="A218" s="57">
        <f t="shared" si="56"/>
        <v>0</v>
      </c>
      <c r="B218" s="57"/>
      <c r="C218" s="58"/>
      <c r="D218" s="59">
        <f t="shared" ref="D218:J218" si="78">C83*$C218*D$124</f>
        <v>0</v>
      </c>
      <c r="E218" s="59">
        <f t="shared" si="78"/>
        <v>0</v>
      </c>
      <c r="F218" s="59">
        <f t="shared" si="78"/>
        <v>0</v>
      </c>
      <c r="G218" s="59">
        <f t="shared" si="78"/>
        <v>0</v>
      </c>
      <c r="H218" s="59">
        <f t="shared" si="78"/>
        <v>0</v>
      </c>
      <c r="I218" s="59">
        <f t="shared" si="78"/>
        <v>0</v>
      </c>
      <c r="J218" s="59">
        <f t="shared" si="78"/>
        <v>0</v>
      </c>
      <c r="K218" s="52"/>
      <c r="L218" s="52"/>
      <c r="M218" s="52"/>
      <c r="N218" s="52"/>
      <c r="O218" s="52"/>
      <c r="P218" s="52"/>
      <c r="Q218" s="52"/>
      <c r="R218" s="52"/>
      <c r="S218" s="52"/>
      <c r="T218" s="52"/>
      <c r="U218" s="52"/>
      <c r="V218" s="52"/>
      <c r="W218" s="52"/>
    </row>
    <row r="219" spans="1:23" ht="15.75" customHeight="1">
      <c r="A219" s="57">
        <f t="shared" si="56"/>
        <v>0</v>
      </c>
      <c r="B219" s="57"/>
      <c r="C219" s="58"/>
      <c r="D219" s="59">
        <f t="shared" ref="D219:J219" si="79">C84*$C219*D$124</f>
        <v>0</v>
      </c>
      <c r="E219" s="59">
        <f t="shared" si="79"/>
        <v>0</v>
      </c>
      <c r="F219" s="59">
        <f t="shared" si="79"/>
        <v>0</v>
      </c>
      <c r="G219" s="59">
        <f t="shared" si="79"/>
        <v>0</v>
      </c>
      <c r="H219" s="59">
        <f t="shared" si="79"/>
        <v>0</v>
      </c>
      <c r="I219" s="59">
        <f t="shared" si="79"/>
        <v>0</v>
      </c>
      <c r="J219" s="59">
        <f t="shared" si="79"/>
        <v>0</v>
      </c>
      <c r="K219" s="52"/>
      <c r="L219" s="52"/>
      <c r="M219" s="52"/>
      <c r="N219" s="52"/>
      <c r="O219" s="52"/>
      <c r="P219" s="52"/>
      <c r="Q219" s="52"/>
      <c r="R219" s="52"/>
      <c r="S219" s="52"/>
      <c r="T219" s="52"/>
      <c r="U219" s="52"/>
      <c r="V219" s="52"/>
      <c r="W219" s="52"/>
    </row>
    <row r="220" spans="1:23" ht="15.75" customHeight="1">
      <c r="A220" s="57" t="str">
        <f t="shared" si="56"/>
        <v>Fruit  &amp; Vegetables Crop Production Details</v>
      </c>
      <c r="B220" s="57"/>
      <c r="C220" s="59"/>
      <c r="D220" s="59"/>
      <c r="E220" s="59"/>
      <c r="F220" s="59"/>
      <c r="G220" s="59"/>
      <c r="H220" s="59"/>
      <c r="I220" s="59"/>
      <c r="J220" s="59"/>
      <c r="K220" s="52"/>
      <c r="L220" s="52"/>
      <c r="M220" s="52"/>
      <c r="N220" s="52"/>
      <c r="O220" s="52"/>
      <c r="P220" s="52"/>
      <c r="Q220" s="52"/>
      <c r="R220" s="52"/>
      <c r="S220" s="52"/>
      <c r="T220" s="52"/>
      <c r="U220" s="52"/>
      <c r="V220" s="52"/>
      <c r="W220" s="52"/>
    </row>
    <row r="221" spans="1:23" ht="15.75" customHeight="1">
      <c r="A221" s="57" t="str">
        <f t="shared" si="56"/>
        <v>Onion</v>
      </c>
      <c r="B221" s="57"/>
      <c r="C221" s="58"/>
      <c r="D221" s="59">
        <f t="shared" ref="D221:J221" si="80">C86*$C221*D$124</f>
        <v>0</v>
      </c>
      <c r="E221" s="59">
        <f t="shared" si="80"/>
        <v>0</v>
      </c>
      <c r="F221" s="59">
        <f t="shared" si="80"/>
        <v>0</v>
      </c>
      <c r="G221" s="59">
        <f t="shared" si="80"/>
        <v>0</v>
      </c>
      <c r="H221" s="59">
        <f t="shared" si="80"/>
        <v>0</v>
      </c>
      <c r="I221" s="59">
        <f t="shared" si="80"/>
        <v>0</v>
      </c>
      <c r="J221" s="59">
        <f t="shared" si="80"/>
        <v>0</v>
      </c>
      <c r="K221" s="52"/>
      <c r="L221" s="52"/>
      <c r="M221" s="52"/>
      <c r="N221" s="52"/>
      <c r="O221" s="52"/>
      <c r="P221" s="52"/>
      <c r="Q221" s="52"/>
      <c r="R221" s="52"/>
      <c r="S221" s="52"/>
      <c r="T221" s="52"/>
      <c r="U221" s="52"/>
      <c r="V221" s="52"/>
      <c r="W221" s="52"/>
    </row>
    <row r="222" spans="1:23" ht="15.75" customHeight="1">
      <c r="A222" s="57" t="str">
        <f t="shared" si="56"/>
        <v>Tomato</v>
      </c>
      <c r="B222" s="57"/>
      <c r="C222" s="58"/>
      <c r="D222" s="59">
        <f t="shared" ref="D222:J222" si="81">C87*$C222*D$124</f>
        <v>0</v>
      </c>
      <c r="E222" s="59">
        <f t="shared" si="81"/>
        <v>0</v>
      </c>
      <c r="F222" s="59">
        <f t="shared" si="81"/>
        <v>0</v>
      </c>
      <c r="G222" s="59">
        <f t="shared" si="81"/>
        <v>0</v>
      </c>
      <c r="H222" s="59">
        <f t="shared" si="81"/>
        <v>0</v>
      </c>
      <c r="I222" s="59">
        <f t="shared" si="81"/>
        <v>0</v>
      </c>
      <c r="J222" s="59">
        <f t="shared" si="81"/>
        <v>0</v>
      </c>
      <c r="K222" s="52"/>
      <c r="L222" s="52"/>
      <c r="M222" s="52"/>
      <c r="N222" s="52"/>
      <c r="O222" s="52"/>
      <c r="P222" s="52"/>
      <c r="Q222" s="52"/>
      <c r="R222" s="52"/>
      <c r="S222" s="52"/>
      <c r="T222" s="52"/>
      <c r="U222" s="52"/>
      <c r="V222" s="52"/>
      <c r="W222" s="52"/>
    </row>
    <row r="223" spans="1:23" ht="15.75" customHeight="1">
      <c r="A223" s="57" t="str">
        <f t="shared" si="56"/>
        <v>Okra</v>
      </c>
      <c r="B223" s="57"/>
      <c r="C223" s="58"/>
      <c r="D223" s="59">
        <f t="shared" ref="D223:J223" si="82">C88*$C223*D$124</f>
        <v>0</v>
      </c>
      <c r="E223" s="59">
        <f t="shared" si="82"/>
        <v>0</v>
      </c>
      <c r="F223" s="59">
        <f t="shared" si="82"/>
        <v>0</v>
      </c>
      <c r="G223" s="59">
        <f t="shared" si="82"/>
        <v>0</v>
      </c>
      <c r="H223" s="59">
        <f t="shared" si="82"/>
        <v>0</v>
      </c>
      <c r="I223" s="59">
        <f t="shared" si="82"/>
        <v>0</v>
      </c>
      <c r="J223" s="59">
        <f t="shared" si="82"/>
        <v>0</v>
      </c>
      <c r="K223" s="52"/>
      <c r="L223" s="52"/>
      <c r="M223" s="52"/>
      <c r="N223" s="52"/>
      <c r="O223" s="52"/>
      <c r="P223" s="52"/>
      <c r="Q223" s="52"/>
      <c r="R223" s="52"/>
      <c r="S223" s="52"/>
      <c r="T223" s="52"/>
      <c r="U223" s="52"/>
      <c r="V223" s="52"/>
      <c r="W223" s="52"/>
    </row>
    <row r="224" spans="1:23" ht="15.75" customHeight="1">
      <c r="A224" s="57" t="str">
        <f t="shared" si="56"/>
        <v>Chilli</v>
      </c>
      <c r="B224" s="57"/>
      <c r="C224" s="58"/>
      <c r="D224" s="59">
        <f t="shared" ref="D224:J224" si="83">C89*$C224*D$124</f>
        <v>0</v>
      </c>
      <c r="E224" s="59">
        <f t="shared" si="83"/>
        <v>0</v>
      </c>
      <c r="F224" s="59">
        <f t="shared" si="83"/>
        <v>0</v>
      </c>
      <c r="G224" s="59">
        <f t="shared" si="83"/>
        <v>0</v>
      </c>
      <c r="H224" s="59">
        <f t="shared" si="83"/>
        <v>0</v>
      </c>
      <c r="I224" s="59">
        <f t="shared" si="83"/>
        <v>0</v>
      </c>
      <c r="J224" s="59">
        <f t="shared" si="83"/>
        <v>0</v>
      </c>
      <c r="K224" s="52"/>
      <c r="L224" s="52"/>
      <c r="M224" s="52"/>
      <c r="N224" s="52"/>
      <c r="O224" s="52"/>
      <c r="P224" s="52"/>
      <c r="Q224" s="52"/>
      <c r="R224" s="52"/>
      <c r="S224" s="52"/>
      <c r="T224" s="52"/>
      <c r="U224" s="52"/>
      <c r="V224" s="52"/>
      <c r="W224" s="52"/>
    </row>
    <row r="225" spans="1:23" ht="15.75" customHeight="1">
      <c r="A225" s="57" t="str">
        <f t="shared" si="56"/>
        <v>Potato</v>
      </c>
      <c r="B225" s="57"/>
      <c r="C225" s="58"/>
      <c r="D225" s="59">
        <f t="shared" ref="D225:J225" si="84">C90*$C225*D$124</f>
        <v>0</v>
      </c>
      <c r="E225" s="59">
        <f t="shared" si="84"/>
        <v>0</v>
      </c>
      <c r="F225" s="59">
        <f t="shared" si="84"/>
        <v>0</v>
      </c>
      <c r="G225" s="59">
        <f t="shared" si="84"/>
        <v>0</v>
      </c>
      <c r="H225" s="59">
        <f t="shared" si="84"/>
        <v>0</v>
      </c>
      <c r="I225" s="59">
        <f t="shared" si="84"/>
        <v>0</v>
      </c>
      <c r="J225" s="59">
        <f t="shared" si="84"/>
        <v>0</v>
      </c>
      <c r="K225" s="52"/>
      <c r="L225" s="52"/>
      <c r="M225" s="52"/>
      <c r="N225" s="52"/>
      <c r="O225" s="52"/>
      <c r="P225" s="52"/>
      <c r="Q225" s="52"/>
      <c r="R225" s="52"/>
      <c r="S225" s="52"/>
      <c r="T225" s="52"/>
      <c r="U225" s="52"/>
      <c r="V225" s="52"/>
      <c r="W225" s="52"/>
    </row>
    <row r="226" spans="1:23" ht="15.75" customHeight="1">
      <c r="A226" s="57">
        <f t="shared" si="56"/>
        <v>0</v>
      </c>
      <c r="B226" s="57"/>
      <c r="C226" s="58"/>
      <c r="D226" s="59">
        <f t="shared" ref="D226:J226" si="85">C91*$C226*D$124</f>
        <v>0</v>
      </c>
      <c r="E226" s="59">
        <f t="shared" si="85"/>
        <v>0</v>
      </c>
      <c r="F226" s="59">
        <f t="shared" si="85"/>
        <v>0</v>
      </c>
      <c r="G226" s="59">
        <f t="shared" si="85"/>
        <v>0</v>
      </c>
      <c r="H226" s="59">
        <f t="shared" si="85"/>
        <v>0</v>
      </c>
      <c r="I226" s="59">
        <f t="shared" si="85"/>
        <v>0</v>
      </c>
      <c r="J226" s="59">
        <f t="shared" si="85"/>
        <v>0</v>
      </c>
      <c r="K226" s="52"/>
      <c r="L226" s="52"/>
      <c r="M226" s="52"/>
      <c r="N226" s="52"/>
      <c r="O226" s="52"/>
      <c r="P226" s="52"/>
      <c r="Q226" s="52"/>
      <c r="R226" s="52"/>
      <c r="S226" s="52"/>
      <c r="T226" s="52"/>
      <c r="U226" s="52"/>
      <c r="V226" s="52"/>
      <c r="W226" s="52"/>
    </row>
    <row r="227" spans="1:23" ht="15.75" customHeight="1">
      <c r="A227" s="57">
        <f t="shared" si="56"/>
        <v>0</v>
      </c>
      <c r="B227" s="57"/>
      <c r="C227" s="58"/>
      <c r="D227" s="59">
        <f t="shared" ref="D227:J227" si="86">C92*$C227*D$124</f>
        <v>0</v>
      </c>
      <c r="E227" s="59">
        <f t="shared" si="86"/>
        <v>0</v>
      </c>
      <c r="F227" s="59">
        <f t="shared" si="86"/>
        <v>0</v>
      </c>
      <c r="G227" s="59">
        <f t="shared" si="86"/>
        <v>0</v>
      </c>
      <c r="H227" s="59">
        <f t="shared" si="86"/>
        <v>0</v>
      </c>
      <c r="I227" s="59">
        <f t="shared" si="86"/>
        <v>0</v>
      </c>
      <c r="J227" s="59">
        <f t="shared" si="86"/>
        <v>0</v>
      </c>
      <c r="K227" s="52"/>
      <c r="L227" s="52"/>
      <c r="M227" s="52"/>
      <c r="N227" s="52"/>
      <c r="O227" s="52"/>
      <c r="P227" s="52"/>
      <c r="Q227" s="52"/>
      <c r="R227" s="52"/>
      <c r="S227" s="52"/>
      <c r="T227" s="52"/>
      <c r="U227" s="52"/>
      <c r="V227" s="52"/>
      <c r="W227" s="52"/>
    </row>
    <row r="228" spans="1:23" ht="15.75" customHeight="1">
      <c r="A228" s="57">
        <f t="shared" si="56"/>
        <v>0</v>
      </c>
      <c r="B228" s="57"/>
      <c r="C228" s="58"/>
      <c r="D228" s="59">
        <f t="shared" ref="D228:J228" si="87">C93*$C228*D$124</f>
        <v>0</v>
      </c>
      <c r="E228" s="59">
        <f t="shared" si="87"/>
        <v>0</v>
      </c>
      <c r="F228" s="59">
        <f t="shared" si="87"/>
        <v>0</v>
      </c>
      <c r="G228" s="59">
        <f t="shared" si="87"/>
        <v>0</v>
      </c>
      <c r="H228" s="59">
        <f t="shared" si="87"/>
        <v>0</v>
      </c>
      <c r="I228" s="59">
        <f t="shared" si="87"/>
        <v>0</v>
      </c>
      <c r="J228" s="59">
        <f t="shared" si="87"/>
        <v>0</v>
      </c>
      <c r="K228" s="52"/>
      <c r="L228" s="52"/>
      <c r="M228" s="52"/>
      <c r="N228" s="52"/>
      <c r="O228" s="52"/>
      <c r="P228" s="52"/>
      <c r="Q228" s="52"/>
      <c r="R228" s="52"/>
      <c r="S228" s="52"/>
      <c r="T228" s="52"/>
      <c r="U228" s="52"/>
      <c r="V228" s="52"/>
      <c r="W228" s="52"/>
    </row>
    <row r="229" spans="1:23" ht="15.75" customHeight="1">
      <c r="A229" s="57">
        <f t="shared" si="56"/>
        <v>0</v>
      </c>
      <c r="B229" s="57"/>
      <c r="C229" s="58"/>
      <c r="D229" s="59">
        <f t="shared" ref="D229:J229" si="88">C94*$C229*D$124</f>
        <v>0</v>
      </c>
      <c r="E229" s="59">
        <f t="shared" si="88"/>
        <v>0</v>
      </c>
      <c r="F229" s="59">
        <f t="shared" si="88"/>
        <v>0</v>
      </c>
      <c r="G229" s="59">
        <f t="shared" si="88"/>
        <v>0</v>
      </c>
      <c r="H229" s="59">
        <f t="shared" si="88"/>
        <v>0</v>
      </c>
      <c r="I229" s="59">
        <f t="shared" si="88"/>
        <v>0</v>
      </c>
      <c r="J229" s="59">
        <f t="shared" si="88"/>
        <v>0</v>
      </c>
      <c r="K229" s="52"/>
      <c r="L229" s="52"/>
      <c r="M229" s="52"/>
      <c r="N229" s="52"/>
      <c r="O229" s="52"/>
      <c r="P229" s="52"/>
      <c r="Q229" s="52"/>
      <c r="R229" s="52"/>
      <c r="S229" s="52"/>
      <c r="T229" s="52"/>
      <c r="U229" s="52"/>
      <c r="V229" s="52"/>
      <c r="W229" s="52"/>
    </row>
    <row r="230" spans="1:23" ht="15.75" customHeight="1">
      <c r="A230" s="57" t="str">
        <f t="shared" si="56"/>
        <v>Onion</v>
      </c>
      <c r="B230" s="57"/>
      <c r="C230" s="58"/>
      <c r="D230" s="59">
        <f t="shared" ref="D230:J230" si="89">C95*$C230*D$124</f>
        <v>0</v>
      </c>
      <c r="E230" s="59">
        <f t="shared" si="89"/>
        <v>0</v>
      </c>
      <c r="F230" s="59">
        <f t="shared" si="89"/>
        <v>0</v>
      </c>
      <c r="G230" s="59">
        <f t="shared" si="89"/>
        <v>0</v>
      </c>
      <c r="H230" s="59">
        <f t="shared" si="89"/>
        <v>0</v>
      </c>
      <c r="I230" s="59">
        <f t="shared" si="89"/>
        <v>0</v>
      </c>
      <c r="J230" s="59">
        <f t="shared" si="89"/>
        <v>0</v>
      </c>
      <c r="K230" s="52"/>
      <c r="L230" s="52"/>
      <c r="M230" s="52"/>
      <c r="N230" s="52"/>
      <c r="O230" s="52"/>
      <c r="P230" s="52"/>
      <c r="Q230" s="52"/>
      <c r="R230" s="52"/>
      <c r="S230" s="52"/>
      <c r="T230" s="52"/>
      <c r="U230" s="52"/>
      <c r="V230" s="52"/>
      <c r="W230" s="52"/>
    </row>
    <row r="231" spans="1:23" ht="15.75" customHeight="1">
      <c r="A231" s="57" t="str">
        <f t="shared" si="56"/>
        <v>Tomato</v>
      </c>
      <c r="B231" s="57"/>
      <c r="C231" s="58"/>
      <c r="D231" s="59">
        <f t="shared" ref="D231:J231" si="90">C96*$C231*D$124</f>
        <v>0</v>
      </c>
      <c r="E231" s="59">
        <f t="shared" si="90"/>
        <v>0</v>
      </c>
      <c r="F231" s="59">
        <f t="shared" si="90"/>
        <v>0</v>
      </c>
      <c r="G231" s="59">
        <f t="shared" si="90"/>
        <v>0</v>
      </c>
      <c r="H231" s="59">
        <f t="shared" si="90"/>
        <v>0</v>
      </c>
      <c r="I231" s="59">
        <f t="shared" si="90"/>
        <v>0</v>
      </c>
      <c r="J231" s="59">
        <f t="shared" si="90"/>
        <v>0</v>
      </c>
      <c r="K231" s="52"/>
      <c r="L231" s="52"/>
      <c r="M231" s="52"/>
      <c r="N231" s="52"/>
      <c r="O231" s="52"/>
      <c r="P231" s="52"/>
      <c r="Q231" s="52"/>
      <c r="R231" s="52"/>
      <c r="S231" s="52"/>
      <c r="T231" s="52"/>
      <c r="U231" s="52"/>
      <c r="V231" s="52"/>
      <c r="W231" s="52"/>
    </row>
    <row r="232" spans="1:23" ht="15.75" customHeight="1">
      <c r="A232" s="57" t="str">
        <f t="shared" si="56"/>
        <v>Okra</v>
      </c>
      <c r="B232" s="57"/>
      <c r="C232" s="58"/>
      <c r="D232" s="59">
        <f t="shared" ref="D232:J232" si="91">C97*$C232*D$124</f>
        <v>0</v>
      </c>
      <c r="E232" s="59">
        <f t="shared" si="91"/>
        <v>0</v>
      </c>
      <c r="F232" s="59">
        <f t="shared" si="91"/>
        <v>0</v>
      </c>
      <c r="G232" s="59">
        <f t="shared" si="91"/>
        <v>0</v>
      </c>
      <c r="H232" s="59">
        <f t="shared" si="91"/>
        <v>0</v>
      </c>
      <c r="I232" s="59">
        <f t="shared" si="91"/>
        <v>0</v>
      </c>
      <c r="J232" s="59">
        <f t="shared" si="91"/>
        <v>0</v>
      </c>
      <c r="K232" s="52"/>
      <c r="L232" s="52"/>
      <c r="M232" s="52"/>
      <c r="N232" s="52"/>
      <c r="O232" s="52"/>
      <c r="P232" s="52"/>
      <c r="Q232" s="52"/>
      <c r="R232" s="52"/>
      <c r="S232" s="52"/>
      <c r="T232" s="52"/>
      <c r="U232" s="52"/>
      <c r="V232" s="52"/>
      <c r="W232" s="52"/>
    </row>
    <row r="233" spans="1:23" ht="15.75" customHeight="1">
      <c r="A233" s="57" t="str">
        <f t="shared" si="56"/>
        <v>Chilli</v>
      </c>
      <c r="B233" s="57"/>
      <c r="C233" s="58"/>
      <c r="D233" s="59">
        <f t="shared" ref="D233:J233" si="92">C98*$C233*D$124</f>
        <v>0</v>
      </c>
      <c r="E233" s="59">
        <f t="shared" si="92"/>
        <v>0</v>
      </c>
      <c r="F233" s="59">
        <f t="shared" si="92"/>
        <v>0</v>
      </c>
      <c r="G233" s="59">
        <f t="shared" si="92"/>
        <v>0</v>
      </c>
      <c r="H233" s="59">
        <f t="shared" si="92"/>
        <v>0</v>
      </c>
      <c r="I233" s="59">
        <f t="shared" si="92"/>
        <v>0</v>
      </c>
      <c r="J233" s="59">
        <f t="shared" si="92"/>
        <v>0</v>
      </c>
      <c r="K233" s="52"/>
      <c r="L233" s="52"/>
      <c r="M233" s="52"/>
      <c r="N233" s="52"/>
      <c r="O233" s="52"/>
      <c r="P233" s="52"/>
      <c r="Q233" s="52"/>
      <c r="R233" s="52"/>
      <c r="S233" s="52"/>
      <c r="T233" s="52"/>
      <c r="U233" s="52"/>
      <c r="V233" s="52"/>
      <c r="W233" s="52"/>
    </row>
    <row r="234" spans="1:23" ht="15.75" customHeight="1">
      <c r="A234" s="57" t="str">
        <f t="shared" si="56"/>
        <v>Brinjal</v>
      </c>
      <c r="B234" s="57"/>
      <c r="C234" s="58"/>
      <c r="D234" s="59">
        <f t="shared" ref="D234:J234" si="93">C99*$C234*D$124</f>
        <v>0</v>
      </c>
      <c r="E234" s="59">
        <f t="shared" si="93"/>
        <v>0</v>
      </c>
      <c r="F234" s="59">
        <f t="shared" si="93"/>
        <v>0</v>
      </c>
      <c r="G234" s="59">
        <f t="shared" si="93"/>
        <v>0</v>
      </c>
      <c r="H234" s="59">
        <f t="shared" si="93"/>
        <v>0</v>
      </c>
      <c r="I234" s="59">
        <f t="shared" si="93"/>
        <v>0</v>
      </c>
      <c r="J234" s="59">
        <f t="shared" si="93"/>
        <v>0</v>
      </c>
      <c r="K234" s="52"/>
      <c r="L234" s="52"/>
      <c r="M234" s="52"/>
      <c r="N234" s="52"/>
      <c r="O234" s="52"/>
      <c r="P234" s="52"/>
      <c r="Q234" s="52"/>
      <c r="R234" s="52"/>
      <c r="S234" s="52"/>
      <c r="T234" s="52"/>
      <c r="U234" s="52"/>
      <c r="V234" s="52"/>
      <c r="W234" s="52"/>
    </row>
    <row r="235" spans="1:23" ht="15.75" customHeight="1">
      <c r="A235" s="57">
        <f t="shared" si="56"/>
        <v>0</v>
      </c>
      <c r="B235" s="57"/>
      <c r="C235" s="58"/>
      <c r="D235" s="59">
        <f t="shared" ref="D235:J235" si="94">C100*$C235*D$124</f>
        <v>0</v>
      </c>
      <c r="E235" s="59">
        <f t="shared" si="94"/>
        <v>0</v>
      </c>
      <c r="F235" s="59">
        <f t="shared" si="94"/>
        <v>0</v>
      </c>
      <c r="G235" s="59">
        <f t="shared" si="94"/>
        <v>0</v>
      </c>
      <c r="H235" s="59">
        <f t="shared" si="94"/>
        <v>0</v>
      </c>
      <c r="I235" s="59">
        <f t="shared" si="94"/>
        <v>0</v>
      </c>
      <c r="J235" s="59">
        <f t="shared" si="94"/>
        <v>0</v>
      </c>
      <c r="K235" s="52"/>
      <c r="L235" s="52"/>
      <c r="M235" s="52"/>
      <c r="N235" s="52"/>
      <c r="O235" s="52"/>
      <c r="P235" s="52"/>
      <c r="Q235" s="52"/>
      <c r="R235" s="52"/>
      <c r="S235" s="52"/>
      <c r="T235" s="52"/>
      <c r="U235" s="52"/>
      <c r="V235" s="52"/>
      <c r="W235" s="52"/>
    </row>
    <row r="236" spans="1:23" ht="15.75" customHeight="1">
      <c r="A236" s="57">
        <f t="shared" si="56"/>
        <v>0</v>
      </c>
      <c r="B236" s="57"/>
      <c r="C236" s="58"/>
      <c r="D236" s="59">
        <f t="shared" ref="D236:J236" si="95">C101*$C236*D$124</f>
        <v>0</v>
      </c>
      <c r="E236" s="59">
        <f t="shared" si="95"/>
        <v>0</v>
      </c>
      <c r="F236" s="59">
        <f t="shared" si="95"/>
        <v>0</v>
      </c>
      <c r="G236" s="59">
        <f t="shared" si="95"/>
        <v>0</v>
      </c>
      <c r="H236" s="59">
        <f t="shared" si="95"/>
        <v>0</v>
      </c>
      <c r="I236" s="59">
        <f t="shared" si="95"/>
        <v>0</v>
      </c>
      <c r="J236" s="59">
        <f t="shared" si="95"/>
        <v>0</v>
      </c>
      <c r="K236" s="52"/>
      <c r="L236" s="52"/>
      <c r="M236" s="52"/>
      <c r="N236" s="52"/>
      <c r="O236" s="52"/>
      <c r="P236" s="52"/>
      <c r="Q236" s="52"/>
      <c r="R236" s="52"/>
      <c r="S236" s="52"/>
      <c r="T236" s="52"/>
      <c r="U236" s="52"/>
      <c r="V236" s="52"/>
      <c r="W236" s="52"/>
    </row>
    <row r="237" spans="1:23" ht="15.75" customHeight="1">
      <c r="A237" s="57">
        <f t="shared" si="56"/>
        <v>0</v>
      </c>
      <c r="B237" s="57"/>
      <c r="C237" s="58"/>
      <c r="D237" s="59">
        <f t="shared" ref="D237:J237" si="96">C102*$C237*D$124</f>
        <v>0</v>
      </c>
      <c r="E237" s="59">
        <f t="shared" si="96"/>
        <v>0</v>
      </c>
      <c r="F237" s="59">
        <f t="shared" si="96"/>
        <v>0</v>
      </c>
      <c r="G237" s="59">
        <f t="shared" si="96"/>
        <v>0</v>
      </c>
      <c r="H237" s="59">
        <f t="shared" si="96"/>
        <v>0</v>
      </c>
      <c r="I237" s="59">
        <f t="shared" si="96"/>
        <v>0</v>
      </c>
      <c r="J237" s="59">
        <f t="shared" si="96"/>
        <v>0</v>
      </c>
      <c r="K237" s="52"/>
      <c r="L237" s="52"/>
      <c r="M237" s="52"/>
      <c r="N237" s="52"/>
      <c r="O237" s="52"/>
      <c r="P237" s="52"/>
      <c r="Q237" s="52"/>
      <c r="R237" s="52"/>
      <c r="S237" s="52"/>
      <c r="T237" s="52"/>
      <c r="U237" s="52"/>
      <c r="V237" s="52"/>
      <c r="W237" s="52"/>
    </row>
    <row r="238" spans="1:23" ht="15.75" customHeight="1">
      <c r="A238" s="57">
        <f t="shared" si="56"/>
        <v>0</v>
      </c>
      <c r="B238" s="57"/>
      <c r="C238" s="58"/>
      <c r="D238" s="59">
        <f t="shared" ref="D238:J238" si="97">C103*$C238*D$124</f>
        <v>0</v>
      </c>
      <c r="E238" s="59">
        <f t="shared" si="97"/>
        <v>0</v>
      </c>
      <c r="F238" s="59">
        <f t="shared" si="97"/>
        <v>0</v>
      </c>
      <c r="G238" s="59">
        <f t="shared" si="97"/>
        <v>0</v>
      </c>
      <c r="H238" s="59">
        <f t="shared" si="97"/>
        <v>0</v>
      </c>
      <c r="I238" s="59">
        <f t="shared" si="97"/>
        <v>0</v>
      </c>
      <c r="J238" s="59">
        <f t="shared" si="97"/>
        <v>0</v>
      </c>
      <c r="K238" s="52"/>
      <c r="L238" s="52"/>
      <c r="M238" s="52"/>
      <c r="N238" s="52"/>
      <c r="O238" s="52"/>
      <c r="P238" s="52"/>
      <c r="Q238" s="52"/>
      <c r="R238" s="52"/>
      <c r="S238" s="52"/>
      <c r="T238" s="52"/>
      <c r="U238" s="52"/>
      <c r="V238" s="52"/>
      <c r="W238" s="52"/>
    </row>
    <row r="239" spans="1:23" ht="15.75" customHeight="1">
      <c r="A239" s="57" t="str">
        <f t="shared" ref="A239:A243" si="98">A175</f>
        <v>Pomegranate</v>
      </c>
      <c r="B239" s="57"/>
      <c r="C239" s="58"/>
      <c r="D239" s="59">
        <f t="shared" ref="D239:J239" si="99">C107*$C239*D$124</f>
        <v>0</v>
      </c>
      <c r="E239" s="59">
        <f t="shared" si="99"/>
        <v>0</v>
      </c>
      <c r="F239" s="59">
        <f t="shared" si="99"/>
        <v>0</v>
      </c>
      <c r="G239" s="59">
        <f t="shared" si="99"/>
        <v>0</v>
      </c>
      <c r="H239" s="59">
        <f t="shared" si="99"/>
        <v>0</v>
      </c>
      <c r="I239" s="59">
        <f t="shared" si="99"/>
        <v>0</v>
      </c>
      <c r="J239" s="59">
        <f t="shared" si="99"/>
        <v>0</v>
      </c>
      <c r="K239" s="52"/>
      <c r="L239" s="52"/>
      <c r="M239" s="52"/>
      <c r="N239" s="52"/>
      <c r="O239" s="52"/>
      <c r="P239" s="52"/>
      <c r="Q239" s="52"/>
      <c r="R239" s="52"/>
      <c r="S239" s="52"/>
      <c r="T239" s="52"/>
      <c r="U239" s="52"/>
      <c r="V239" s="52"/>
      <c r="W239" s="52"/>
    </row>
    <row r="240" spans="1:23" ht="15.75" customHeight="1">
      <c r="A240" s="57" t="str">
        <f t="shared" si="98"/>
        <v>Custard Apple</v>
      </c>
      <c r="B240" s="57"/>
      <c r="C240" s="58"/>
      <c r="D240" s="59">
        <f t="shared" ref="D240:J240" si="100">C108*$C240*D$124</f>
        <v>0</v>
      </c>
      <c r="E240" s="59">
        <f t="shared" si="100"/>
        <v>0</v>
      </c>
      <c r="F240" s="59">
        <f t="shared" si="100"/>
        <v>0</v>
      </c>
      <c r="G240" s="59">
        <f t="shared" si="100"/>
        <v>0</v>
      </c>
      <c r="H240" s="59">
        <f t="shared" si="100"/>
        <v>0</v>
      </c>
      <c r="I240" s="59">
        <f t="shared" si="100"/>
        <v>0</v>
      </c>
      <c r="J240" s="59">
        <f t="shared" si="100"/>
        <v>0</v>
      </c>
      <c r="K240" s="52"/>
      <c r="L240" s="52"/>
      <c r="M240" s="52"/>
      <c r="N240" s="52"/>
      <c r="O240" s="52"/>
      <c r="P240" s="52"/>
      <c r="Q240" s="52"/>
      <c r="R240" s="52"/>
      <c r="S240" s="52"/>
      <c r="T240" s="52"/>
      <c r="U240" s="52"/>
      <c r="V240" s="52"/>
      <c r="W240" s="52"/>
    </row>
    <row r="241" spans="1:23" ht="15.75" customHeight="1">
      <c r="A241" s="57" t="str">
        <f t="shared" si="98"/>
        <v>Guava</v>
      </c>
      <c r="B241" s="57"/>
      <c r="C241" s="58"/>
      <c r="D241" s="59">
        <f t="shared" ref="D241:J241" si="101">C109*$C241*D$124</f>
        <v>0</v>
      </c>
      <c r="E241" s="59">
        <f t="shared" si="101"/>
        <v>0</v>
      </c>
      <c r="F241" s="59">
        <f t="shared" si="101"/>
        <v>0</v>
      </c>
      <c r="G241" s="59">
        <f t="shared" si="101"/>
        <v>0</v>
      </c>
      <c r="H241" s="59">
        <f t="shared" si="101"/>
        <v>0</v>
      </c>
      <c r="I241" s="59">
        <f t="shared" si="101"/>
        <v>0</v>
      </c>
      <c r="J241" s="59">
        <f t="shared" si="101"/>
        <v>0</v>
      </c>
      <c r="K241" s="52"/>
      <c r="L241" s="52"/>
      <c r="M241" s="52"/>
      <c r="N241" s="52"/>
      <c r="O241" s="52"/>
      <c r="P241" s="52"/>
      <c r="Q241" s="52"/>
      <c r="R241" s="52"/>
      <c r="S241" s="52"/>
      <c r="T241" s="52"/>
      <c r="U241" s="52"/>
      <c r="V241" s="52"/>
      <c r="W241" s="52"/>
    </row>
    <row r="242" spans="1:23" ht="15.75" customHeight="1">
      <c r="A242" s="57" t="str">
        <f t="shared" si="98"/>
        <v>Citrus</v>
      </c>
      <c r="B242" s="57"/>
      <c r="C242" s="58"/>
      <c r="D242" s="59">
        <f t="shared" ref="D242:J242" si="102">C110*$C242*D$124</f>
        <v>0</v>
      </c>
      <c r="E242" s="59">
        <f t="shared" si="102"/>
        <v>0</v>
      </c>
      <c r="F242" s="59">
        <f t="shared" si="102"/>
        <v>0</v>
      </c>
      <c r="G242" s="59">
        <f t="shared" si="102"/>
        <v>0</v>
      </c>
      <c r="H242" s="59">
        <f t="shared" si="102"/>
        <v>0</v>
      </c>
      <c r="I242" s="59">
        <f t="shared" si="102"/>
        <v>0</v>
      </c>
      <c r="J242" s="59">
        <f t="shared" si="102"/>
        <v>0</v>
      </c>
      <c r="K242" s="52"/>
      <c r="L242" s="52"/>
      <c r="M242" s="52"/>
      <c r="N242" s="52"/>
      <c r="O242" s="52"/>
      <c r="P242" s="52"/>
      <c r="Q242" s="52"/>
      <c r="R242" s="52"/>
      <c r="S242" s="52"/>
      <c r="T242" s="52"/>
      <c r="U242" s="52"/>
      <c r="V242" s="52"/>
      <c r="W242" s="52"/>
    </row>
    <row r="243" spans="1:23" ht="15.75" customHeight="1">
      <c r="A243" s="57">
        <f t="shared" si="98"/>
        <v>0</v>
      </c>
      <c r="B243" s="57"/>
      <c r="C243" s="58"/>
      <c r="D243" s="59">
        <f t="shared" ref="D243:J243" si="103">C111*$C243*D$124</f>
        <v>0</v>
      </c>
      <c r="E243" s="59">
        <f t="shared" si="103"/>
        <v>0</v>
      </c>
      <c r="F243" s="59">
        <f t="shared" si="103"/>
        <v>0</v>
      </c>
      <c r="G243" s="59">
        <f t="shared" si="103"/>
        <v>0</v>
      </c>
      <c r="H243" s="59">
        <f t="shared" si="103"/>
        <v>0</v>
      </c>
      <c r="I243" s="59">
        <f t="shared" si="103"/>
        <v>0</v>
      </c>
      <c r="J243" s="59">
        <f t="shared" si="103"/>
        <v>0</v>
      </c>
      <c r="K243" s="52"/>
      <c r="L243" s="52"/>
      <c r="M243" s="52"/>
      <c r="N243" s="52"/>
      <c r="O243" s="52"/>
      <c r="P243" s="52"/>
      <c r="Q243" s="52"/>
      <c r="R243" s="52"/>
      <c r="S243" s="52"/>
      <c r="T243" s="52"/>
      <c r="U243" s="52"/>
      <c r="V243" s="52"/>
      <c r="W243" s="52"/>
    </row>
    <row r="244" spans="1:23" ht="15.75" customHeight="1">
      <c r="A244" s="57" t="str">
        <f t="shared" ref="A244:A247" si="104">A181</f>
        <v>Fertilizer(Rate/KG)</v>
      </c>
      <c r="B244" s="57"/>
      <c r="C244" s="59"/>
      <c r="D244" s="59"/>
      <c r="E244" s="59"/>
      <c r="F244" s="59"/>
      <c r="G244" s="59"/>
      <c r="H244" s="59"/>
      <c r="I244" s="59"/>
      <c r="J244" s="59"/>
      <c r="K244" s="52"/>
      <c r="L244" s="52"/>
      <c r="M244" s="52"/>
      <c r="N244" s="52"/>
      <c r="O244" s="52"/>
      <c r="P244" s="52"/>
      <c r="Q244" s="52"/>
      <c r="R244" s="52"/>
      <c r="S244" s="52"/>
      <c r="T244" s="52"/>
      <c r="U244" s="52"/>
      <c r="V244" s="52"/>
      <c r="W244" s="52"/>
    </row>
    <row r="245" spans="1:23" ht="15.75" customHeight="1">
      <c r="A245" s="57" t="str">
        <f t="shared" si="104"/>
        <v>SSP</v>
      </c>
      <c r="B245" s="57"/>
      <c r="C245" s="58">
        <v>6</v>
      </c>
      <c r="D245" s="59">
        <f t="shared" ref="D245:J245" si="105">C114*$C$245*D124</f>
        <v>0</v>
      </c>
      <c r="E245" s="59">
        <f t="shared" si="105"/>
        <v>0</v>
      </c>
      <c r="F245" s="59">
        <f t="shared" si="105"/>
        <v>0</v>
      </c>
      <c r="G245" s="59">
        <f t="shared" si="105"/>
        <v>0</v>
      </c>
      <c r="H245" s="59">
        <f t="shared" si="105"/>
        <v>0</v>
      </c>
      <c r="I245" s="59">
        <f t="shared" si="105"/>
        <v>0</v>
      </c>
      <c r="J245" s="59">
        <f t="shared" si="105"/>
        <v>0</v>
      </c>
      <c r="K245" s="52"/>
      <c r="L245" s="52"/>
      <c r="M245" s="52"/>
      <c r="N245" s="52"/>
      <c r="O245" s="52"/>
      <c r="P245" s="52"/>
      <c r="Q245" s="52"/>
      <c r="R245" s="52"/>
      <c r="S245" s="52"/>
      <c r="T245" s="52"/>
      <c r="U245" s="52"/>
      <c r="V245" s="52"/>
      <c r="W245" s="52"/>
    </row>
    <row r="246" spans="1:23" ht="15.75" customHeight="1">
      <c r="A246" s="57" t="str">
        <f t="shared" si="104"/>
        <v>Urea</v>
      </c>
      <c r="B246" s="57"/>
      <c r="C246" s="58">
        <v>5</v>
      </c>
      <c r="D246" s="59">
        <f t="shared" ref="D246:J246" si="106">C115*$C$246*D124</f>
        <v>0</v>
      </c>
      <c r="E246" s="59">
        <f t="shared" si="106"/>
        <v>0</v>
      </c>
      <c r="F246" s="59">
        <f t="shared" si="106"/>
        <v>0</v>
      </c>
      <c r="G246" s="59">
        <f t="shared" si="106"/>
        <v>0</v>
      </c>
      <c r="H246" s="59">
        <f t="shared" si="106"/>
        <v>0</v>
      </c>
      <c r="I246" s="59">
        <f t="shared" si="106"/>
        <v>0</v>
      </c>
      <c r="J246" s="59">
        <f t="shared" si="106"/>
        <v>0</v>
      </c>
      <c r="K246" s="52"/>
      <c r="L246" s="52"/>
      <c r="M246" s="52"/>
      <c r="N246" s="52"/>
      <c r="O246" s="52"/>
      <c r="P246" s="52"/>
      <c r="Q246" s="52"/>
      <c r="R246" s="52"/>
      <c r="S246" s="52"/>
      <c r="T246" s="52"/>
      <c r="U246" s="52"/>
      <c r="V246" s="52"/>
      <c r="W246" s="52"/>
    </row>
    <row r="247" spans="1:23" ht="15.75" customHeight="1">
      <c r="A247" s="57" t="str">
        <f t="shared" si="104"/>
        <v>DAP</v>
      </c>
      <c r="B247" s="57"/>
      <c r="C247" s="58">
        <v>27</v>
      </c>
      <c r="D247" s="59">
        <f t="shared" ref="D247:J247" si="107">C116*$C$247*D124</f>
        <v>0</v>
      </c>
      <c r="E247" s="59">
        <f t="shared" si="107"/>
        <v>0</v>
      </c>
      <c r="F247" s="59">
        <f t="shared" si="107"/>
        <v>0</v>
      </c>
      <c r="G247" s="59">
        <f t="shared" si="107"/>
        <v>0</v>
      </c>
      <c r="H247" s="59">
        <f t="shared" si="107"/>
        <v>0</v>
      </c>
      <c r="I247" s="59">
        <f t="shared" si="107"/>
        <v>0</v>
      </c>
      <c r="J247" s="59">
        <f t="shared" si="107"/>
        <v>0</v>
      </c>
      <c r="K247" s="52"/>
      <c r="L247" s="52"/>
      <c r="M247" s="52"/>
      <c r="N247" s="52"/>
      <c r="O247" s="52"/>
      <c r="P247" s="52"/>
      <c r="Q247" s="52"/>
      <c r="R247" s="52"/>
      <c r="S247" s="52"/>
      <c r="T247" s="52"/>
      <c r="U247" s="52"/>
      <c r="V247" s="52"/>
      <c r="W247" s="52"/>
    </row>
    <row r="248" spans="1:23" ht="15.75" customHeight="1">
      <c r="A248" s="57"/>
      <c r="B248" s="57"/>
      <c r="C248" s="59"/>
      <c r="D248" s="59"/>
      <c r="E248" s="59"/>
      <c r="F248" s="59"/>
      <c r="G248" s="59"/>
      <c r="H248" s="59"/>
      <c r="I248" s="59"/>
      <c r="J248" s="59"/>
      <c r="K248" s="52"/>
      <c r="L248" s="52"/>
      <c r="M248" s="52"/>
      <c r="N248" s="52"/>
      <c r="O248" s="52"/>
      <c r="P248" s="52"/>
      <c r="Q248" s="52"/>
      <c r="R248" s="52"/>
      <c r="S248" s="52"/>
      <c r="T248" s="52"/>
      <c r="U248" s="52"/>
      <c r="V248" s="52"/>
      <c r="W248" s="52"/>
    </row>
    <row r="249" spans="1:23" ht="15.75" customHeight="1">
      <c r="A249" s="57" t="str">
        <f t="shared" ref="A249:A251" si="108">A186</f>
        <v>Pesticide</v>
      </c>
      <c r="B249" s="57"/>
      <c r="C249" s="59"/>
      <c r="D249" s="59"/>
      <c r="E249" s="59"/>
      <c r="F249" s="59"/>
      <c r="G249" s="59"/>
      <c r="H249" s="59"/>
      <c r="I249" s="59"/>
      <c r="J249" s="59"/>
      <c r="K249" s="52"/>
      <c r="L249" s="52"/>
      <c r="M249" s="52"/>
      <c r="N249" s="52"/>
      <c r="O249" s="52"/>
      <c r="P249" s="52"/>
      <c r="Q249" s="52"/>
      <c r="R249" s="52"/>
      <c r="S249" s="52"/>
      <c r="T249" s="52"/>
      <c r="U249" s="52"/>
      <c r="V249" s="52"/>
      <c r="W249" s="52"/>
    </row>
    <row r="250" spans="1:23" ht="15.75" customHeight="1">
      <c r="A250" s="57" t="str">
        <f t="shared" si="108"/>
        <v>Dupont Coragen</v>
      </c>
      <c r="B250" s="57"/>
      <c r="C250" s="58">
        <v>2800</v>
      </c>
      <c r="D250" s="59">
        <f t="shared" ref="D250:J250" si="109">C118*$C$250*D124</f>
        <v>0</v>
      </c>
      <c r="E250" s="59">
        <f t="shared" si="109"/>
        <v>0</v>
      </c>
      <c r="F250" s="59">
        <f t="shared" si="109"/>
        <v>0</v>
      </c>
      <c r="G250" s="59">
        <f t="shared" si="109"/>
        <v>0</v>
      </c>
      <c r="H250" s="59">
        <f t="shared" si="109"/>
        <v>0</v>
      </c>
      <c r="I250" s="59">
        <f t="shared" si="109"/>
        <v>0</v>
      </c>
      <c r="J250" s="59">
        <f t="shared" si="109"/>
        <v>0</v>
      </c>
      <c r="K250" s="52"/>
      <c r="L250" s="52"/>
      <c r="M250" s="52"/>
      <c r="N250" s="52"/>
      <c r="O250" s="52"/>
      <c r="P250" s="52"/>
      <c r="Q250" s="52"/>
      <c r="R250" s="52"/>
      <c r="S250" s="52"/>
      <c r="T250" s="52"/>
      <c r="U250" s="52"/>
      <c r="V250" s="52"/>
      <c r="W250" s="52"/>
    </row>
    <row r="251" spans="1:23" ht="15.75" customHeight="1">
      <c r="A251" s="57" t="str">
        <f t="shared" si="108"/>
        <v>Confidor Boyer</v>
      </c>
      <c r="B251" s="57"/>
      <c r="C251" s="58">
        <v>2000</v>
      </c>
      <c r="D251" s="59">
        <f t="shared" ref="D251:J251" si="110">C119*$C$251*D124</f>
        <v>0</v>
      </c>
      <c r="E251" s="59">
        <f t="shared" si="110"/>
        <v>0</v>
      </c>
      <c r="F251" s="59">
        <f t="shared" si="110"/>
        <v>0</v>
      </c>
      <c r="G251" s="59">
        <f t="shared" si="110"/>
        <v>0</v>
      </c>
      <c r="H251" s="59">
        <f t="shared" si="110"/>
        <v>0</v>
      </c>
      <c r="I251" s="59">
        <f t="shared" si="110"/>
        <v>0</v>
      </c>
      <c r="J251" s="59">
        <f t="shared" si="110"/>
        <v>0</v>
      </c>
      <c r="K251" s="52"/>
      <c r="L251" s="52"/>
      <c r="M251" s="52"/>
      <c r="N251" s="52"/>
      <c r="O251" s="52"/>
      <c r="P251" s="52"/>
      <c r="Q251" s="52"/>
      <c r="R251" s="52"/>
      <c r="S251" s="52"/>
      <c r="T251" s="52"/>
      <c r="U251" s="52"/>
      <c r="V251" s="52"/>
      <c r="W251" s="52"/>
    </row>
    <row r="252" spans="1:23" ht="15.75" customHeight="1">
      <c r="A252" s="57"/>
      <c r="B252" s="57"/>
      <c r="C252" s="59"/>
      <c r="D252" s="59"/>
      <c r="E252" s="59"/>
      <c r="F252" s="59"/>
      <c r="G252" s="59"/>
      <c r="H252" s="59"/>
      <c r="I252" s="59"/>
      <c r="J252" s="59"/>
      <c r="K252" s="52"/>
      <c r="L252" s="52"/>
      <c r="M252" s="52"/>
      <c r="N252" s="52"/>
      <c r="O252" s="52"/>
      <c r="P252" s="52"/>
      <c r="Q252" s="52"/>
      <c r="R252" s="52"/>
      <c r="S252" s="52"/>
      <c r="T252" s="52"/>
      <c r="U252" s="52"/>
      <c r="V252" s="52"/>
      <c r="W252" s="52"/>
    </row>
    <row r="253" spans="1:23" ht="15.75" customHeight="1">
      <c r="A253" s="57" t="s">
        <v>679</v>
      </c>
      <c r="B253" s="57"/>
      <c r="C253" s="58">
        <v>10</v>
      </c>
      <c r="D253" s="59">
        <f t="shared" ref="D253:J253" si="111">(SUM(C63:C119)/50)*$C$253*D124</f>
        <v>0</v>
      </c>
      <c r="E253" s="59">
        <f t="shared" si="111"/>
        <v>0</v>
      </c>
      <c r="F253" s="59">
        <f t="shared" si="111"/>
        <v>0</v>
      </c>
      <c r="G253" s="59">
        <f t="shared" si="111"/>
        <v>0</v>
      </c>
      <c r="H253" s="59">
        <f t="shared" si="111"/>
        <v>0</v>
      </c>
      <c r="I253" s="59">
        <f t="shared" si="111"/>
        <v>0</v>
      </c>
      <c r="J253" s="59">
        <f t="shared" si="111"/>
        <v>0</v>
      </c>
      <c r="K253" s="52"/>
      <c r="L253" s="52"/>
      <c r="M253" s="52"/>
      <c r="N253" s="52"/>
      <c r="O253" s="52"/>
      <c r="P253" s="52"/>
      <c r="Q253" s="52"/>
      <c r="R253" s="52"/>
      <c r="S253" s="52"/>
      <c r="T253" s="52"/>
      <c r="U253" s="52"/>
      <c r="V253" s="52"/>
      <c r="W253" s="52"/>
    </row>
    <row r="254" spans="1:23" ht="15.75" customHeight="1">
      <c r="A254" s="57" t="s">
        <v>680</v>
      </c>
      <c r="B254" s="57"/>
      <c r="C254" s="58">
        <v>100</v>
      </c>
      <c r="D254" s="59">
        <f t="shared" ref="D254:J254" si="112">(SUM(C63:C119)/50)*$C$254*D124</f>
        <v>0</v>
      </c>
      <c r="E254" s="59">
        <f t="shared" si="112"/>
        <v>0</v>
      </c>
      <c r="F254" s="59">
        <f t="shared" si="112"/>
        <v>0</v>
      </c>
      <c r="G254" s="59">
        <f t="shared" si="112"/>
        <v>0</v>
      </c>
      <c r="H254" s="59">
        <f t="shared" si="112"/>
        <v>0</v>
      </c>
      <c r="I254" s="59">
        <f t="shared" si="112"/>
        <v>0</v>
      </c>
      <c r="J254" s="59">
        <f t="shared" si="112"/>
        <v>0</v>
      </c>
      <c r="K254" s="52"/>
      <c r="L254" s="52"/>
      <c r="M254" s="52"/>
      <c r="N254" s="52"/>
      <c r="O254" s="52"/>
      <c r="P254" s="52"/>
      <c r="Q254" s="52"/>
      <c r="R254" s="52"/>
      <c r="S254" s="52"/>
      <c r="T254" s="52"/>
      <c r="U254" s="52"/>
      <c r="V254" s="52"/>
      <c r="W254" s="52"/>
    </row>
    <row r="255" spans="1:23" ht="15.75" customHeight="1">
      <c r="A255" s="57"/>
      <c r="B255" s="57"/>
      <c r="C255" s="58"/>
      <c r="D255" s="188"/>
      <c r="E255" s="59"/>
      <c r="F255" s="59"/>
      <c r="G255" s="59"/>
      <c r="H255" s="59"/>
      <c r="I255" s="59"/>
      <c r="J255" s="59"/>
      <c r="K255" s="52"/>
      <c r="L255" s="52"/>
      <c r="M255" s="52"/>
      <c r="N255" s="52"/>
      <c r="O255" s="52"/>
      <c r="P255" s="52"/>
      <c r="Q255" s="52"/>
      <c r="R255" s="52"/>
      <c r="S255" s="52"/>
      <c r="T255" s="52"/>
      <c r="U255" s="52"/>
      <c r="V255" s="52"/>
      <c r="W255" s="52"/>
    </row>
    <row r="256" spans="1:23" ht="15.75" customHeight="1">
      <c r="A256" s="57"/>
      <c r="B256" s="57"/>
      <c r="C256" s="58"/>
      <c r="D256" s="188"/>
      <c r="E256" s="59"/>
      <c r="F256" s="59"/>
      <c r="G256" s="59"/>
      <c r="H256" s="59"/>
      <c r="I256" s="59"/>
      <c r="J256" s="59"/>
      <c r="K256" s="52"/>
      <c r="L256" s="52"/>
      <c r="M256" s="52"/>
      <c r="N256" s="52"/>
      <c r="O256" s="52"/>
      <c r="P256" s="52"/>
      <c r="Q256" s="52"/>
      <c r="R256" s="52"/>
      <c r="S256" s="52"/>
      <c r="T256" s="52"/>
      <c r="U256" s="52"/>
      <c r="V256" s="52"/>
      <c r="W256" s="52"/>
    </row>
    <row r="257" spans="1:23" ht="15.75" customHeight="1">
      <c r="A257" s="57"/>
      <c r="B257" s="57"/>
      <c r="C257" s="58"/>
      <c r="D257" s="188"/>
      <c r="E257" s="59"/>
      <c r="F257" s="59"/>
      <c r="G257" s="59"/>
      <c r="H257" s="59"/>
      <c r="I257" s="59"/>
      <c r="J257" s="59"/>
      <c r="K257" s="52"/>
      <c r="L257" s="52"/>
      <c r="M257" s="52"/>
      <c r="N257" s="52"/>
      <c r="O257" s="52"/>
      <c r="P257" s="52"/>
      <c r="Q257" s="52"/>
      <c r="R257" s="52"/>
      <c r="S257" s="52"/>
      <c r="T257" s="52"/>
      <c r="U257" s="52"/>
      <c r="V257" s="52"/>
      <c r="W257" s="52"/>
    </row>
    <row r="258" spans="1:23" ht="15.75" customHeight="1">
      <c r="A258" s="57"/>
      <c r="B258" s="57"/>
      <c r="C258" s="58"/>
      <c r="D258" s="188"/>
      <c r="E258" s="59"/>
      <c r="F258" s="59"/>
      <c r="G258" s="59"/>
      <c r="H258" s="59"/>
      <c r="I258" s="59"/>
      <c r="J258" s="59"/>
      <c r="K258" s="52"/>
      <c r="L258" s="52"/>
      <c r="M258" s="52"/>
      <c r="N258" s="52"/>
      <c r="O258" s="52"/>
      <c r="P258" s="52"/>
      <c r="Q258" s="52"/>
      <c r="R258" s="52"/>
      <c r="S258" s="52"/>
      <c r="T258" s="52"/>
      <c r="U258" s="52"/>
      <c r="V258" s="52"/>
      <c r="W258" s="52"/>
    </row>
    <row r="259" spans="1:23" ht="15.75" customHeight="1">
      <c r="A259" s="57" t="s">
        <v>586</v>
      </c>
      <c r="B259" s="57"/>
      <c r="C259" s="59"/>
      <c r="D259" s="188"/>
      <c r="E259" s="59">
        <f>'5.Closing Stock &amp; W Capital'!F6</f>
        <v>0</v>
      </c>
      <c r="F259" s="59">
        <f>'5.Closing Stock &amp; W Capital'!G6</f>
        <v>0</v>
      </c>
      <c r="G259" s="59">
        <f>'5.Closing Stock &amp; W Capital'!H6</f>
        <v>0</v>
      </c>
      <c r="H259" s="59">
        <f>'5.Closing Stock &amp; W Capital'!I6</f>
        <v>0</v>
      </c>
      <c r="I259" s="59">
        <f>'5.Closing Stock &amp; W Capital'!J6</f>
        <v>0</v>
      </c>
      <c r="J259" s="59">
        <f>'5.Closing Stock &amp; W Capital'!K6</f>
        <v>0</v>
      </c>
      <c r="K259" s="52"/>
      <c r="L259" s="52"/>
      <c r="M259" s="52"/>
      <c r="N259" s="52"/>
      <c r="O259" s="52"/>
      <c r="P259" s="52"/>
      <c r="Q259" s="52"/>
      <c r="R259" s="52"/>
      <c r="S259" s="52"/>
      <c r="T259" s="52"/>
      <c r="U259" s="52"/>
      <c r="V259" s="52"/>
      <c r="W259" s="52"/>
    </row>
    <row r="260" spans="1:23" ht="15.75" customHeight="1">
      <c r="A260" s="57" t="s">
        <v>587</v>
      </c>
      <c r="B260" s="57"/>
      <c r="C260" s="57"/>
      <c r="D260" s="188">
        <f>'5.Closing Stock &amp; W Capital'!E14</f>
        <v>0</v>
      </c>
      <c r="E260" s="59">
        <f>'5.Closing Stock &amp; W Capital'!F14</f>
        <v>0</v>
      </c>
      <c r="F260" s="59">
        <f>'5.Closing Stock &amp; W Capital'!G14</f>
        <v>0</v>
      </c>
      <c r="G260" s="59">
        <f>'5.Closing Stock &amp; W Capital'!H14</f>
        <v>0</v>
      </c>
      <c r="H260" s="59">
        <f>'5.Closing Stock &amp; W Capital'!I14</f>
        <v>0</v>
      </c>
      <c r="I260" s="59">
        <f>'5.Closing Stock &amp; W Capital'!J14</f>
        <v>0</v>
      </c>
      <c r="J260" s="59">
        <f>'5.Closing Stock &amp; W Capital'!K14</f>
        <v>0</v>
      </c>
      <c r="K260" s="52"/>
      <c r="L260" s="52"/>
      <c r="M260" s="52"/>
      <c r="N260" s="52"/>
      <c r="O260" s="52"/>
      <c r="P260" s="52"/>
      <c r="Q260" s="52"/>
      <c r="R260" s="52"/>
      <c r="S260" s="52"/>
      <c r="T260" s="52"/>
      <c r="U260" s="52"/>
      <c r="V260" s="52"/>
      <c r="W260" s="52"/>
    </row>
    <row r="261" spans="1:23" ht="15.75" customHeight="1">
      <c r="A261" s="57"/>
      <c r="B261" s="57"/>
      <c r="C261" s="57"/>
      <c r="D261" s="52"/>
      <c r="E261" s="52"/>
      <c r="F261" s="52"/>
      <c r="G261" s="52"/>
      <c r="H261" s="52"/>
      <c r="I261" s="52"/>
      <c r="J261" s="52"/>
      <c r="K261" s="52"/>
      <c r="L261" s="52"/>
      <c r="M261" s="52"/>
      <c r="N261" s="52"/>
      <c r="O261" s="52"/>
      <c r="P261" s="52"/>
      <c r="Q261" s="52"/>
      <c r="R261" s="52"/>
      <c r="S261" s="52"/>
      <c r="T261" s="52"/>
      <c r="U261" s="52"/>
      <c r="V261" s="52"/>
      <c r="W261" s="52"/>
    </row>
    <row r="262" spans="1:23" ht="15.75" customHeight="1">
      <c r="A262" s="60" t="s">
        <v>353</v>
      </c>
      <c r="B262" s="60"/>
      <c r="C262" s="61"/>
      <c r="D262" s="61">
        <f t="shared" ref="D262:J262" si="113">SUM(D197:D258)+D259-D260</f>
        <v>0</v>
      </c>
      <c r="E262" s="61">
        <f t="shared" si="113"/>
        <v>0</v>
      </c>
      <c r="F262" s="61">
        <f t="shared" si="113"/>
        <v>0</v>
      </c>
      <c r="G262" s="61">
        <f t="shared" si="113"/>
        <v>0</v>
      </c>
      <c r="H262" s="61">
        <f t="shared" si="113"/>
        <v>0</v>
      </c>
      <c r="I262" s="61">
        <f t="shared" si="113"/>
        <v>0</v>
      </c>
      <c r="J262" s="61">
        <f t="shared" si="113"/>
        <v>0</v>
      </c>
      <c r="K262" s="52"/>
      <c r="L262" s="52"/>
      <c r="M262" s="52"/>
      <c r="N262" s="52"/>
      <c r="O262" s="52"/>
      <c r="P262" s="52"/>
      <c r="Q262" s="52"/>
      <c r="R262" s="52"/>
      <c r="S262" s="52"/>
      <c r="T262" s="52"/>
      <c r="U262" s="52"/>
      <c r="V262" s="52"/>
      <c r="W262" s="52"/>
    </row>
    <row r="263" spans="1:23" ht="15.75" customHeight="1">
      <c r="A263" s="57"/>
      <c r="B263" s="57"/>
      <c r="C263" s="59"/>
      <c r="D263" s="59"/>
      <c r="E263" s="59"/>
      <c r="F263" s="59"/>
      <c r="G263" s="59"/>
      <c r="H263" s="59"/>
      <c r="I263" s="59"/>
      <c r="J263" s="59"/>
      <c r="K263" s="52"/>
      <c r="L263" s="52"/>
      <c r="M263" s="52"/>
      <c r="N263" s="52"/>
      <c r="O263" s="52"/>
      <c r="P263" s="52"/>
      <c r="Q263" s="52"/>
      <c r="R263" s="52"/>
      <c r="S263" s="52"/>
      <c r="T263" s="52"/>
      <c r="U263" s="52"/>
      <c r="V263" s="52"/>
      <c r="W263" s="52"/>
    </row>
    <row r="264" spans="1:23" ht="15.75" customHeight="1">
      <c r="A264" s="60" t="s">
        <v>354</v>
      </c>
      <c r="B264" s="60"/>
      <c r="C264" s="59"/>
      <c r="D264" s="59"/>
      <c r="E264" s="59"/>
      <c r="F264" s="59"/>
      <c r="G264" s="59"/>
      <c r="H264" s="59"/>
      <c r="I264" s="59"/>
      <c r="J264" s="59"/>
      <c r="K264" s="52"/>
      <c r="L264" s="52"/>
      <c r="M264" s="52"/>
      <c r="N264" s="52"/>
      <c r="O264" s="52"/>
      <c r="P264" s="52"/>
      <c r="Q264" s="52"/>
      <c r="R264" s="52"/>
      <c r="S264" s="52"/>
      <c r="T264" s="52"/>
      <c r="U264" s="52"/>
      <c r="V264" s="52"/>
      <c r="W264" s="52"/>
    </row>
    <row r="265" spans="1:23" ht="15.75" customHeight="1">
      <c r="A265" s="57" t="s">
        <v>681</v>
      </c>
      <c r="B265" s="57">
        <v>12</v>
      </c>
      <c r="C265" s="58"/>
      <c r="D265" s="59">
        <f t="shared" ref="D265:J265" si="114">$B$265*$C$265*D124</f>
        <v>0</v>
      </c>
      <c r="E265" s="59">
        <f t="shared" si="114"/>
        <v>0</v>
      </c>
      <c r="F265" s="59">
        <f t="shared" si="114"/>
        <v>0</v>
      </c>
      <c r="G265" s="59">
        <f t="shared" si="114"/>
        <v>0</v>
      </c>
      <c r="H265" s="59">
        <f t="shared" si="114"/>
        <v>0</v>
      </c>
      <c r="I265" s="59">
        <f t="shared" si="114"/>
        <v>0</v>
      </c>
      <c r="J265" s="59">
        <f t="shared" si="114"/>
        <v>0</v>
      </c>
      <c r="K265" s="52"/>
      <c r="L265" s="52"/>
      <c r="M265" s="52"/>
      <c r="N265" s="52"/>
      <c r="O265" s="52"/>
      <c r="P265" s="52"/>
      <c r="Q265" s="52"/>
      <c r="R265" s="52"/>
      <c r="S265" s="52"/>
      <c r="T265" s="52"/>
      <c r="U265" s="52"/>
      <c r="V265" s="52"/>
      <c r="W265" s="52"/>
    </row>
    <row r="266" spans="1:23" ht="15.75" customHeight="1">
      <c r="A266" s="57" t="s">
        <v>682</v>
      </c>
      <c r="B266" s="41">
        <v>1</v>
      </c>
      <c r="C266" s="58"/>
      <c r="D266" s="59">
        <f t="shared" ref="D266:J266" si="115">$B$266*$C$266*12*D124</f>
        <v>0</v>
      </c>
      <c r="E266" s="59">
        <f t="shared" si="115"/>
        <v>0</v>
      </c>
      <c r="F266" s="59">
        <f t="shared" si="115"/>
        <v>0</v>
      </c>
      <c r="G266" s="59">
        <f t="shared" si="115"/>
        <v>0</v>
      </c>
      <c r="H266" s="59">
        <f t="shared" si="115"/>
        <v>0</v>
      </c>
      <c r="I266" s="59">
        <f t="shared" si="115"/>
        <v>0</v>
      </c>
      <c r="J266" s="59">
        <f t="shared" si="115"/>
        <v>0</v>
      </c>
      <c r="K266" s="52"/>
      <c r="L266" s="52"/>
      <c r="M266" s="52"/>
      <c r="N266" s="52"/>
      <c r="O266" s="52"/>
      <c r="P266" s="52"/>
      <c r="Q266" s="52"/>
      <c r="R266" s="52"/>
      <c r="S266" s="52"/>
      <c r="T266" s="52"/>
      <c r="U266" s="52"/>
      <c r="V266" s="52"/>
      <c r="W266" s="52"/>
    </row>
    <row r="267" spans="1:23" ht="15.75" customHeight="1">
      <c r="A267" s="57" t="s">
        <v>683</v>
      </c>
      <c r="B267" s="41">
        <v>1</v>
      </c>
      <c r="C267" s="58"/>
      <c r="D267" s="59">
        <f t="shared" ref="D267:J267" si="116">$B$267*$C$267*12*D124</f>
        <v>0</v>
      </c>
      <c r="E267" s="59">
        <f t="shared" si="116"/>
        <v>0</v>
      </c>
      <c r="F267" s="59">
        <f t="shared" si="116"/>
        <v>0</v>
      </c>
      <c r="G267" s="59">
        <f t="shared" si="116"/>
        <v>0</v>
      </c>
      <c r="H267" s="59">
        <f t="shared" si="116"/>
        <v>0</v>
      </c>
      <c r="I267" s="59">
        <f t="shared" si="116"/>
        <v>0</v>
      </c>
      <c r="J267" s="59">
        <f t="shared" si="116"/>
        <v>0</v>
      </c>
      <c r="K267" s="52"/>
      <c r="L267" s="52"/>
      <c r="M267" s="52"/>
      <c r="N267" s="52"/>
      <c r="O267" s="52"/>
      <c r="P267" s="52"/>
      <c r="Q267" s="52"/>
      <c r="R267" s="52"/>
      <c r="S267" s="52"/>
      <c r="T267" s="52"/>
      <c r="U267" s="52"/>
      <c r="V267" s="52"/>
      <c r="W267" s="52"/>
    </row>
    <row r="268" spans="1:23" ht="15.75" customHeight="1">
      <c r="A268" s="57" t="s">
        <v>684</v>
      </c>
      <c r="B268" s="57">
        <v>12</v>
      </c>
      <c r="C268" s="58"/>
      <c r="D268" s="59">
        <f t="shared" ref="D268:J268" si="117">$B$268*$C$268*D124</f>
        <v>0</v>
      </c>
      <c r="E268" s="59">
        <f t="shared" si="117"/>
        <v>0</v>
      </c>
      <c r="F268" s="59">
        <f t="shared" si="117"/>
        <v>0</v>
      </c>
      <c r="G268" s="59">
        <f t="shared" si="117"/>
        <v>0</v>
      </c>
      <c r="H268" s="59">
        <f t="shared" si="117"/>
        <v>0</v>
      </c>
      <c r="I268" s="59">
        <f t="shared" si="117"/>
        <v>0</v>
      </c>
      <c r="J268" s="59">
        <f t="shared" si="117"/>
        <v>0</v>
      </c>
      <c r="K268" s="52"/>
      <c r="L268" s="52"/>
      <c r="M268" s="52"/>
      <c r="N268" s="52"/>
      <c r="O268" s="52"/>
      <c r="P268" s="52"/>
      <c r="Q268" s="52"/>
      <c r="R268" s="52"/>
      <c r="S268" s="52"/>
      <c r="T268" s="52"/>
      <c r="U268" s="52"/>
      <c r="V268" s="52"/>
      <c r="W268" s="52"/>
    </row>
    <row r="269" spans="1:23" ht="15.75" customHeight="1">
      <c r="A269" s="57"/>
      <c r="B269" s="57"/>
      <c r="C269" s="58"/>
      <c r="D269" s="59"/>
      <c r="E269" s="59"/>
      <c r="F269" s="59"/>
      <c r="G269" s="59"/>
      <c r="H269" s="59"/>
      <c r="I269" s="59"/>
      <c r="J269" s="59"/>
      <c r="K269" s="52"/>
      <c r="L269" s="52"/>
      <c r="M269" s="52"/>
      <c r="N269" s="52"/>
      <c r="O269" s="52"/>
      <c r="P269" s="52"/>
      <c r="Q269" s="52"/>
      <c r="R269" s="52"/>
      <c r="S269" s="52"/>
      <c r="T269" s="52"/>
      <c r="U269" s="52"/>
      <c r="V269" s="52"/>
      <c r="W269" s="52"/>
    </row>
    <row r="270" spans="1:23" ht="15.75" customHeight="1">
      <c r="A270" s="57"/>
      <c r="B270" s="57"/>
      <c r="C270" s="58"/>
      <c r="D270" s="59"/>
      <c r="E270" s="59"/>
      <c r="F270" s="59"/>
      <c r="G270" s="59"/>
      <c r="H270" s="59"/>
      <c r="I270" s="59"/>
      <c r="J270" s="59"/>
      <c r="K270" s="52"/>
      <c r="L270" s="52"/>
      <c r="M270" s="52"/>
      <c r="N270" s="52"/>
      <c r="O270" s="52"/>
      <c r="P270" s="52"/>
      <c r="Q270" s="52"/>
      <c r="R270" s="52"/>
      <c r="S270" s="52"/>
      <c r="T270" s="52"/>
      <c r="U270" s="52"/>
      <c r="V270" s="52"/>
      <c r="W270" s="52"/>
    </row>
    <row r="271" spans="1:23" ht="15.75" customHeight="1">
      <c r="A271" s="57"/>
      <c r="B271" s="57"/>
      <c r="C271" s="58"/>
      <c r="D271" s="59"/>
      <c r="E271" s="59"/>
      <c r="F271" s="59"/>
      <c r="G271" s="59"/>
      <c r="H271" s="59"/>
      <c r="I271" s="59"/>
      <c r="J271" s="59"/>
      <c r="K271" s="52"/>
      <c r="L271" s="52"/>
      <c r="M271" s="52"/>
      <c r="N271" s="52"/>
      <c r="O271" s="52"/>
      <c r="P271" s="52"/>
      <c r="Q271" s="52"/>
      <c r="R271" s="52"/>
      <c r="S271" s="52"/>
      <c r="T271" s="52"/>
      <c r="U271" s="52"/>
      <c r="V271" s="52"/>
      <c r="W271" s="52"/>
    </row>
    <row r="272" spans="1:23" ht="15.75" customHeight="1">
      <c r="A272" s="57"/>
      <c r="B272" s="57"/>
      <c r="C272" s="58"/>
      <c r="D272" s="59"/>
      <c r="E272" s="59"/>
      <c r="F272" s="59"/>
      <c r="G272" s="59"/>
      <c r="H272" s="59"/>
      <c r="I272" s="59"/>
      <c r="J272" s="59"/>
      <c r="K272" s="52"/>
      <c r="L272" s="52"/>
      <c r="M272" s="52"/>
      <c r="N272" s="52"/>
      <c r="O272" s="52"/>
      <c r="P272" s="52"/>
      <c r="Q272" s="52"/>
      <c r="R272" s="52"/>
      <c r="S272" s="52"/>
      <c r="T272" s="52"/>
      <c r="U272" s="52"/>
      <c r="V272" s="52"/>
      <c r="W272" s="52"/>
    </row>
    <row r="273" spans="1:23" ht="15.75" customHeight="1">
      <c r="A273" s="60" t="s">
        <v>356</v>
      </c>
      <c r="B273" s="60"/>
      <c r="C273" s="61"/>
      <c r="D273" s="61">
        <f t="shared" ref="D273:J273" si="118">SUM(D265:D272)</f>
        <v>0</v>
      </c>
      <c r="E273" s="61">
        <f t="shared" si="118"/>
        <v>0</v>
      </c>
      <c r="F273" s="61">
        <f t="shared" si="118"/>
        <v>0</v>
      </c>
      <c r="G273" s="61">
        <f t="shared" si="118"/>
        <v>0</v>
      </c>
      <c r="H273" s="61">
        <f t="shared" si="118"/>
        <v>0</v>
      </c>
      <c r="I273" s="61">
        <f t="shared" si="118"/>
        <v>0</v>
      </c>
      <c r="J273" s="61">
        <f t="shared" si="118"/>
        <v>0</v>
      </c>
      <c r="K273" s="52"/>
      <c r="L273" s="52"/>
      <c r="M273" s="52"/>
      <c r="N273" s="52"/>
      <c r="O273" s="52"/>
      <c r="P273" s="52"/>
      <c r="Q273" s="52"/>
      <c r="R273" s="52"/>
      <c r="S273" s="52"/>
      <c r="T273" s="52"/>
      <c r="U273" s="52"/>
      <c r="V273" s="52"/>
      <c r="W273" s="52"/>
    </row>
    <row r="274" spans="1:23" ht="15.75" customHeight="1">
      <c r="A274" s="136" t="s">
        <v>685</v>
      </c>
      <c r="B274" s="136"/>
      <c r="C274" s="137"/>
      <c r="D274" s="61">
        <f t="shared" ref="D274:J274" si="119">D262+D273</f>
        <v>0</v>
      </c>
      <c r="E274" s="61">
        <f t="shared" si="119"/>
        <v>0</v>
      </c>
      <c r="F274" s="61">
        <f t="shared" si="119"/>
        <v>0</v>
      </c>
      <c r="G274" s="61">
        <f t="shared" si="119"/>
        <v>0</v>
      </c>
      <c r="H274" s="61">
        <f t="shared" si="119"/>
        <v>0</v>
      </c>
      <c r="I274" s="61">
        <f t="shared" si="119"/>
        <v>0</v>
      </c>
      <c r="J274" s="61">
        <f t="shared" si="119"/>
        <v>0</v>
      </c>
      <c r="K274" s="52"/>
      <c r="L274" s="52"/>
      <c r="M274" s="52"/>
      <c r="N274" s="52"/>
      <c r="O274" s="52"/>
      <c r="P274" s="52"/>
      <c r="Q274" s="52"/>
      <c r="R274" s="52"/>
      <c r="S274" s="52"/>
      <c r="T274" s="52"/>
      <c r="U274" s="52"/>
      <c r="V274" s="52"/>
      <c r="W274" s="52"/>
    </row>
    <row r="275" spans="1:23" ht="15.75" customHeight="1">
      <c r="A275" s="57"/>
      <c r="B275" s="57"/>
      <c r="C275" s="59"/>
      <c r="D275" s="59"/>
      <c r="E275" s="59"/>
      <c r="F275" s="59"/>
      <c r="G275" s="59"/>
      <c r="H275" s="59"/>
      <c r="I275" s="59"/>
      <c r="J275" s="59"/>
      <c r="K275" s="52"/>
      <c r="L275" s="52"/>
      <c r="M275" s="52"/>
      <c r="N275" s="52"/>
      <c r="O275" s="52"/>
      <c r="P275" s="52"/>
      <c r="Q275" s="52"/>
      <c r="R275" s="52"/>
      <c r="S275" s="52"/>
      <c r="T275" s="52"/>
      <c r="U275" s="52"/>
      <c r="V275" s="52"/>
      <c r="W275" s="52"/>
    </row>
    <row r="276" spans="1:23" ht="15.75" customHeight="1">
      <c r="A276" s="136" t="s">
        <v>400</v>
      </c>
      <c r="B276" s="136"/>
      <c r="C276" s="137"/>
      <c r="D276" s="61">
        <f t="shared" ref="D276:J276" si="120">D191-D274</f>
        <v>0</v>
      </c>
      <c r="E276" s="61">
        <f t="shared" si="120"/>
        <v>0</v>
      </c>
      <c r="F276" s="61">
        <f t="shared" si="120"/>
        <v>0</v>
      </c>
      <c r="G276" s="61">
        <f t="shared" si="120"/>
        <v>0</v>
      </c>
      <c r="H276" s="61">
        <f t="shared" si="120"/>
        <v>0</v>
      </c>
      <c r="I276" s="61">
        <f t="shared" si="120"/>
        <v>0</v>
      </c>
      <c r="J276" s="61">
        <f t="shared" si="120"/>
        <v>0</v>
      </c>
      <c r="K276" s="52"/>
      <c r="L276" s="52"/>
      <c r="M276" s="52"/>
      <c r="N276" s="52"/>
      <c r="O276" s="52"/>
      <c r="P276" s="52"/>
      <c r="Q276" s="52"/>
      <c r="R276" s="52"/>
      <c r="S276" s="52"/>
      <c r="T276" s="52"/>
      <c r="U276" s="52"/>
      <c r="V276" s="52"/>
      <c r="W276" s="52"/>
    </row>
    <row r="277" spans="1:23" ht="15.75" customHeight="1">
      <c r="A277" s="75"/>
      <c r="B277" s="75"/>
      <c r="C277" s="75"/>
      <c r="D277" s="52"/>
      <c r="E277" s="52"/>
      <c r="F277" s="52"/>
      <c r="G277" s="52"/>
      <c r="H277" s="52"/>
      <c r="I277" s="52"/>
      <c r="J277" s="52"/>
      <c r="K277" s="52"/>
      <c r="L277" s="52"/>
      <c r="M277" s="52"/>
      <c r="N277" s="52"/>
      <c r="O277" s="52"/>
      <c r="P277" s="52"/>
      <c r="Q277" s="52"/>
      <c r="R277" s="52"/>
      <c r="S277" s="52"/>
      <c r="T277" s="52"/>
      <c r="U277" s="52"/>
      <c r="V277" s="52"/>
      <c r="W277" s="52"/>
    </row>
    <row r="278" spans="1:23" ht="15.75" customHeight="1">
      <c r="A278" s="52"/>
      <c r="B278" s="52"/>
      <c r="C278" s="52"/>
      <c r="D278" s="52"/>
      <c r="E278" s="52"/>
      <c r="F278" s="52"/>
      <c r="G278" s="52"/>
      <c r="H278" s="52"/>
      <c r="I278" s="52"/>
      <c r="J278" s="52"/>
      <c r="K278" s="52"/>
      <c r="L278" s="52"/>
      <c r="M278" s="52"/>
      <c r="N278" s="52"/>
      <c r="O278" s="52"/>
      <c r="P278" s="52"/>
      <c r="Q278" s="52"/>
      <c r="R278" s="52"/>
      <c r="S278" s="52"/>
      <c r="T278" s="52"/>
      <c r="U278" s="52"/>
      <c r="V278" s="52"/>
      <c r="W278" s="52"/>
    </row>
    <row r="279" spans="1:23" ht="15.75" customHeight="1">
      <c r="A279" s="269" t="s">
        <v>686</v>
      </c>
      <c r="B279" s="251"/>
      <c r="C279" s="251"/>
      <c r="D279" s="251"/>
      <c r="E279" s="251"/>
      <c r="F279" s="251"/>
      <c r="G279" s="251"/>
      <c r="H279" s="251"/>
      <c r="I279" s="251"/>
      <c r="J279" s="251"/>
    </row>
    <row r="280" spans="1:23" ht="15.75" customHeight="1"/>
    <row r="281" spans="1:23" ht="15.75" customHeight="1">
      <c r="A281" t="s">
        <v>314</v>
      </c>
    </row>
    <row r="282" spans="1:23" ht="15.75" customHeight="1">
      <c r="A282">
        <v>1</v>
      </c>
      <c r="B282" t="s">
        <v>593</v>
      </c>
    </row>
    <row r="283" spans="1:23" ht="15.75" customHeight="1">
      <c r="A283">
        <v>2</v>
      </c>
      <c r="B283" t="s">
        <v>594</v>
      </c>
    </row>
    <row r="284" spans="1:23" ht="15.75" customHeight="1">
      <c r="A284">
        <v>3</v>
      </c>
      <c r="B284" s="52" t="s">
        <v>595</v>
      </c>
    </row>
  </sheetData>
  <mergeCells count="3">
    <mergeCell ref="A122:J122"/>
    <mergeCell ref="A2:I2"/>
    <mergeCell ref="A279:J279"/>
  </mergeCells>
  <pageMargins left="0.7" right="0.7" top="0.75" bottom="0.75" header="0" footer="0"/>
  <pageSetup orientation="portrait"/>
  <colBreaks count="1" manualBreakCount="1">
    <brk id="10"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3:J197"/>
  <sheetViews>
    <sheetView workbookViewId="0"/>
  </sheetViews>
  <sheetFormatPr defaultColWidth="14.42578125" defaultRowHeight="15" customHeight="1"/>
  <cols>
    <col min="1" max="1" width="41.7109375" customWidth="1"/>
    <col min="2" max="2" width="11.5703125" customWidth="1"/>
    <col min="3" max="3" width="12.5703125" customWidth="1"/>
    <col min="4" max="4" width="15.140625" customWidth="1"/>
    <col min="5" max="8" width="17.28515625" customWidth="1"/>
    <col min="9" max="10" width="16.85546875" customWidth="1"/>
    <col min="11" max="11" width="8.7109375" customWidth="1"/>
  </cols>
  <sheetData>
    <row r="3" spans="1:8" ht="18.75">
      <c r="A3" s="267" t="s">
        <v>687</v>
      </c>
      <c r="B3" s="251"/>
      <c r="C3" s="251"/>
      <c r="D3" s="251"/>
      <c r="E3" s="251"/>
      <c r="F3" s="251"/>
      <c r="G3" s="251"/>
      <c r="H3" s="251"/>
    </row>
    <row r="4" spans="1:8" ht="18.75">
      <c r="A4" s="267" t="s">
        <v>688</v>
      </c>
      <c r="B4" s="251"/>
      <c r="C4" s="251"/>
      <c r="D4" s="251"/>
      <c r="E4" s="251"/>
      <c r="F4" s="251"/>
      <c r="G4" s="251"/>
      <c r="H4" s="251"/>
    </row>
    <row r="5" spans="1:8">
      <c r="A5" s="52" t="s">
        <v>130</v>
      </c>
      <c r="B5" s="168">
        <v>1</v>
      </c>
      <c r="C5" s="52" t="s">
        <v>598</v>
      </c>
      <c r="D5" s="52"/>
      <c r="E5" s="52"/>
      <c r="F5" s="52"/>
      <c r="G5" s="52"/>
      <c r="H5" s="52"/>
    </row>
    <row r="6" spans="1:8">
      <c r="A6" s="52" t="s">
        <v>566</v>
      </c>
      <c r="B6" s="97">
        <v>8</v>
      </c>
      <c r="C6" s="52"/>
      <c r="D6" s="52"/>
      <c r="E6" s="52"/>
      <c r="F6" s="52"/>
      <c r="G6" s="52"/>
      <c r="H6" s="52"/>
    </row>
    <row r="7" spans="1:8">
      <c r="A7" s="52"/>
      <c r="B7" s="97"/>
      <c r="C7" s="52"/>
      <c r="D7" s="52"/>
      <c r="E7" s="52"/>
      <c r="F7" s="52"/>
      <c r="G7" s="52"/>
      <c r="H7" s="52"/>
    </row>
    <row r="8" spans="1:8">
      <c r="A8" s="52"/>
      <c r="B8" s="97"/>
      <c r="C8" s="52"/>
      <c r="D8" s="52"/>
      <c r="E8" s="52"/>
      <c r="F8" s="52"/>
      <c r="G8" s="52"/>
      <c r="H8" s="52"/>
    </row>
    <row r="9" spans="1:8">
      <c r="A9" s="52"/>
      <c r="B9" s="52"/>
      <c r="C9" s="52"/>
      <c r="D9" s="52"/>
      <c r="E9" s="52"/>
      <c r="F9" s="52"/>
      <c r="G9" s="52"/>
      <c r="H9" s="52"/>
    </row>
    <row r="10" spans="1:8">
      <c r="A10" s="52"/>
      <c r="B10" s="52"/>
      <c r="C10" s="52"/>
      <c r="D10" s="52"/>
      <c r="E10" s="52"/>
      <c r="F10" s="52"/>
      <c r="G10" s="52"/>
      <c r="H10" s="52"/>
    </row>
    <row r="11" spans="1:8">
      <c r="A11" s="105" t="s">
        <v>150</v>
      </c>
      <c r="B11" s="106" t="s">
        <v>153</v>
      </c>
      <c r="C11" s="106" t="s">
        <v>154</v>
      </c>
      <c r="D11" s="106" t="s">
        <v>155</v>
      </c>
      <c r="E11" s="106" t="s">
        <v>156</v>
      </c>
      <c r="F11" s="106" t="s">
        <v>157</v>
      </c>
      <c r="G11" s="106" t="s">
        <v>158</v>
      </c>
      <c r="H11" s="106" t="s">
        <v>159</v>
      </c>
    </row>
    <row r="12" spans="1:8">
      <c r="A12" s="57" t="s">
        <v>599</v>
      </c>
      <c r="B12" s="176">
        <f t="shared" ref="B12:H12" si="0">B39/($B$5*$B$6)</f>
        <v>0</v>
      </c>
      <c r="C12" s="176">
        <f t="shared" si="0"/>
        <v>0</v>
      </c>
      <c r="D12" s="176">
        <f t="shared" si="0"/>
        <v>0</v>
      </c>
      <c r="E12" s="176">
        <f t="shared" si="0"/>
        <v>0</v>
      </c>
      <c r="F12" s="176">
        <f t="shared" si="0"/>
        <v>0</v>
      </c>
      <c r="G12" s="176">
        <f t="shared" si="0"/>
        <v>0</v>
      </c>
      <c r="H12" s="176">
        <f t="shared" si="0"/>
        <v>0</v>
      </c>
    </row>
    <row r="13" spans="1:8">
      <c r="A13" s="57" t="str">
        <f>'11.F&amp;V Crop Production details'!A74</f>
        <v>Onion</v>
      </c>
      <c r="B13" s="57">
        <f>'11.F&amp;V Crop Production details'!B74</f>
        <v>0</v>
      </c>
      <c r="C13" s="57">
        <f>'11.F&amp;V Crop Production details'!C74</f>
        <v>0</v>
      </c>
      <c r="D13" s="57">
        <f>'11.F&amp;V Crop Production details'!D74</f>
        <v>0</v>
      </c>
      <c r="E13" s="57">
        <f>'11.F&amp;V Crop Production details'!E74</f>
        <v>0</v>
      </c>
      <c r="F13" s="57">
        <f>'11.F&amp;V Crop Production details'!F74</f>
        <v>0</v>
      </c>
      <c r="G13" s="57">
        <f>'11.F&amp;V Crop Production details'!G74</f>
        <v>0</v>
      </c>
      <c r="H13" s="57">
        <f>'11.F&amp;V Crop Production details'!H74</f>
        <v>0</v>
      </c>
    </row>
    <row r="14" spans="1:8">
      <c r="A14" s="57" t="str">
        <f>'11.F&amp;V Crop Production details'!A75</f>
        <v>Tomato</v>
      </c>
      <c r="B14" s="57">
        <f>'11.F&amp;V Crop Production details'!B75</f>
        <v>0</v>
      </c>
      <c r="C14" s="57">
        <f>'11.F&amp;V Crop Production details'!C75</f>
        <v>0</v>
      </c>
      <c r="D14" s="57">
        <f>'11.F&amp;V Crop Production details'!D75</f>
        <v>0</v>
      </c>
      <c r="E14" s="57">
        <f>'11.F&amp;V Crop Production details'!E75</f>
        <v>0</v>
      </c>
      <c r="F14" s="57">
        <f>'11.F&amp;V Crop Production details'!F75</f>
        <v>0</v>
      </c>
      <c r="G14" s="57">
        <f>'11.F&amp;V Crop Production details'!G75</f>
        <v>0</v>
      </c>
      <c r="H14" s="57">
        <f>'11.F&amp;V Crop Production details'!H75</f>
        <v>0</v>
      </c>
    </row>
    <row r="15" spans="1:8">
      <c r="A15" s="57" t="str">
        <f>'11.F&amp;V Crop Production details'!A76</f>
        <v>Okra</v>
      </c>
      <c r="B15" s="57">
        <f>'11.F&amp;V Crop Production details'!B76</f>
        <v>0</v>
      </c>
      <c r="C15" s="57">
        <f>'11.F&amp;V Crop Production details'!C76</f>
        <v>0</v>
      </c>
      <c r="D15" s="57">
        <f>'11.F&amp;V Crop Production details'!D76</f>
        <v>0</v>
      </c>
      <c r="E15" s="57">
        <f>'11.F&amp;V Crop Production details'!E76</f>
        <v>0</v>
      </c>
      <c r="F15" s="57">
        <f>'11.F&amp;V Crop Production details'!F76</f>
        <v>0</v>
      </c>
      <c r="G15" s="57">
        <f>'11.F&amp;V Crop Production details'!G76</f>
        <v>0</v>
      </c>
      <c r="H15" s="57">
        <f>'11.F&amp;V Crop Production details'!H76</f>
        <v>0</v>
      </c>
    </row>
    <row r="16" spans="1:8">
      <c r="A16" s="57" t="str">
        <f>'11.F&amp;V Crop Production details'!A77</f>
        <v>Chilli</v>
      </c>
      <c r="B16" s="57">
        <f>'11.F&amp;V Crop Production details'!B77</f>
        <v>0</v>
      </c>
      <c r="C16" s="57">
        <f>'11.F&amp;V Crop Production details'!C77</f>
        <v>0</v>
      </c>
      <c r="D16" s="57">
        <f>'11.F&amp;V Crop Production details'!D77</f>
        <v>0</v>
      </c>
      <c r="E16" s="57">
        <f>'11.F&amp;V Crop Production details'!E77</f>
        <v>0</v>
      </c>
      <c r="F16" s="57">
        <f>'11.F&amp;V Crop Production details'!F77</f>
        <v>0</v>
      </c>
      <c r="G16" s="57">
        <f>'11.F&amp;V Crop Production details'!G77</f>
        <v>0</v>
      </c>
      <c r="H16" s="57">
        <f>'11.F&amp;V Crop Production details'!H77</f>
        <v>0</v>
      </c>
    </row>
    <row r="17" spans="1:8">
      <c r="A17" s="57" t="str">
        <f>'11.F&amp;V Crop Production details'!A78</f>
        <v>Potato</v>
      </c>
      <c r="B17" s="57">
        <f>'11.F&amp;V Crop Production details'!B78</f>
        <v>0</v>
      </c>
      <c r="C17" s="57">
        <f>'11.F&amp;V Crop Production details'!C78</f>
        <v>0</v>
      </c>
      <c r="D17" s="57">
        <f>'11.F&amp;V Crop Production details'!D78</f>
        <v>0</v>
      </c>
      <c r="E17" s="57">
        <f>'11.F&amp;V Crop Production details'!E78</f>
        <v>0</v>
      </c>
      <c r="F17" s="57">
        <f>'11.F&amp;V Crop Production details'!F78</f>
        <v>0</v>
      </c>
      <c r="G17" s="57">
        <f>'11.F&amp;V Crop Production details'!G78</f>
        <v>0</v>
      </c>
      <c r="H17" s="57">
        <f>'11.F&amp;V Crop Production details'!H78</f>
        <v>0</v>
      </c>
    </row>
    <row r="18" spans="1:8">
      <c r="A18" s="57">
        <f>'11.F&amp;V Crop Production details'!A79</f>
        <v>0</v>
      </c>
      <c r="B18" s="57">
        <f>'11.F&amp;V Crop Production details'!B79</f>
        <v>0</v>
      </c>
      <c r="C18" s="57">
        <f>'11.F&amp;V Crop Production details'!C79</f>
        <v>0</v>
      </c>
      <c r="D18" s="57">
        <f>'11.F&amp;V Crop Production details'!D79</f>
        <v>0</v>
      </c>
      <c r="E18" s="57">
        <f>'11.F&amp;V Crop Production details'!E79</f>
        <v>0</v>
      </c>
      <c r="F18" s="57">
        <f>'11.F&amp;V Crop Production details'!F79</f>
        <v>0</v>
      </c>
      <c r="G18" s="57">
        <f>'11.F&amp;V Crop Production details'!G79</f>
        <v>0</v>
      </c>
      <c r="H18" s="57">
        <f>'11.F&amp;V Crop Production details'!H79</f>
        <v>0</v>
      </c>
    </row>
    <row r="19" spans="1:8">
      <c r="A19" s="57">
        <f>'11.F&amp;V Crop Production details'!A80</f>
        <v>0</v>
      </c>
      <c r="B19" s="57">
        <f>'11.F&amp;V Crop Production details'!B80</f>
        <v>0</v>
      </c>
      <c r="C19" s="57">
        <f>'11.F&amp;V Crop Production details'!C80</f>
        <v>0</v>
      </c>
      <c r="D19" s="57">
        <f>'11.F&amp;V Crop Production details'!D80</f>
        <v>0</v>
      </c>
      <c r="E19" s="57">
        <f>'11.F&amp;V Crop Production details'!E80</f>
        <v>0</v>
      </c>
      <c r="F19" s="57">
        <f>'11.F&amp;V Crop Production details'!F80</f>
        <v>0</v>
      </c>
      <c r="G19" s="57">
        <f>'11.F&amp;V Crop Production details'!G80</f>
        <v>0</v>
      </c>
      <c r="H19" s="57">
        <f>'11.F&amp;V Crop Production details'!H80</f>
        <v>0</v>
      </c>
    </row>
    <row r="20" spans="1:8">
      <c r="A20" s="57">
        <f>'11.F&amp;V Crop Production details'!A81</f>
        <v>0</v>
      </c>
      <c r="B20" s="57">
        <f>'11.F&amp;V Crop Production details'!B81</f>
        <v>0</v>
      </c>
      <c r="C20" s="57">
        <f>'11.F&amp;V Crop Production details'!C81</f>
        <v>0</v>
      </c>
      <c r="D20" s="57">
        <f>'11.F&amp;V Crop Production details'!D81</f>
        <v>0</v>
      </c>
      <c r="E20" s="57">
        <f>'11.F&amp;V Crop Production details'!E81</f>
        <v>0</v>
      </c>
      <c r="F20" s="57">
        <f>'11.F&amp;V Crop Production details'!F81</f>
        <v>0</v>
      </c>
      <c r="G20" s="57">
        <f>'11.F&amp;V Crop Production details'!G81</f>
        <v>0</v>
      </c>
      <c r="H20" s="57">
        <f>'11.F&amp;V Crop Production details'!H81</f>
        <v>0</v>
      </c>
    </row>
    <row r="21" spans="1:8" ht="15.75" customHeight="1">
      <c r="A21" s="57">
        <f>'11.F&amp;V Crop Production details'!A82</f>
        <v>0</v>
      </c>
      <c r="B21" s="57">
        <f>'11.F&amp;V Crop Production details'!B82</f>
        <v>0</v>
      </c>
      <c r="C21" s="57">
        <f>'11.F&amp;V Crop Production details'!C82</f>
        <v>0</v>
      </c>
      <c r="D21" s="57">
        <f>'11.F&amp;V Crop Production details'!D82</f>
        <v>0</v>
      </c>
      <c r="E21" s="57">
        <f>'11.F&amp;V Crop Production details'!E82</f>
        <v>0</v>
      </c>
      <c r="F21" s="57">
        <f>'11.F&amp;V Crop Production details'!F82</f>
        <v>0</v>
      </c>
      <c r="G21" s="57">
        <f>'11.F&amp;V Crop Production details'!G82</f>
        <v>0</v>
      </c>
      <c r="H21" s="57">
        <f>'11.F&amp;V Crop Production details'!H82</f>
        <v>0</v>
      </c>
    </row>
    <row r="22" spans="1:8" ht="15.75" customHeight="1">
      <c r="A22" s="57" t="str">
        <f>'11.F&amp;V Crop Production details'!A83</f>
        <v>Onion</v>
      </c>
      <c r="B22" s="57">
        <f>'11.F&amp;V Crop Production details'!B83</f>
        <v>0</v>
      </c>
      <c r="C22" s="57">
        <f>'11.F&amp;V Crop Production details'!C83</f>
        <v>0</v>
      </c>
      <c r="D22" s="57">
        <f>'11.F&amp;V Crop Production details'!D83</f>
        <v>0</v>
      </c>
      <c r="E22" s="57">
        <f>'11.F&amp;V Crop Production details'!E83</f>
        <v>0</v>
      </c>
      <c r="F22" s="57">
        <f>'11.F&amp;V Crop Production details'!F83</f>
        <v>0</v>
      </c>
      <c r="G22" s="57">
        <f>'11.F&amp;V Crop Production details'!G83</f>
        <v>0</v>
      </c>
      <c r="H22" s="57">
        <f>'11.F&amp;V Crop Production details'!H83</f>
        <v>0</v>
      </c>
    </row>
    <row r="23" spans="1:8" ht="15.75" customHeight="1">
      <c r="A23" s="57" t="str">
        <f>'11.F&amp;V Crop Production details'!A84</f>
        <v>Tomato</v>
      </c>
      <c r="B23" s="57">
        <f>'11.F&amp;V Crop Production details'!B84</f>
        <v>0</v>
      </c>
      <c r="C23" s="57">
        <f>'11.F&amp;V Crop Production details'!C84</f>
        <v>0</v>
      </c>
      <c r="D23" s="57">
        <f>'11.F&amp;V Crop Production details'!D84</f>
        <v>0</v>
      </c>
      <c r="E23" s="57">
        <f>'11.F&amp;V Crop Production details'!E84</f>
        <v>0</v>
      </c>
      <c r="F23" s="57">
        <f>'11.F&amp;V Crop Production details'!F84</f>
        <v>0</v>
      </c>
      <c r="G23" s="57">
        <f>'11.F&amp;V Crop Production details'!G84</f>
        <v>0</v>
      </c>
      <c r="H23" s="57">
        <f>'11.F&amp;V Crop Production details'!H84</f>
        <v>0</v>
      </c>
    </row>
    <row r="24" spans="1:8" ht="15.75" customHeight="1">
      <c r="A24" s="57" t="str">
        <f>'11.F&amp;V Crop Production details'!A85</f>
        <v>Okra</v>
      </c>
      <c r="B24" s="57">
        <f>'11.F&amp;V Crop Production details'!B85</f>
        <v>0</v>
      </c>
      <c r="C24" s="57">
        <f>'11.F&amp;V Crop Production details'!C85</f>
        <v>0</v>
      </c>
      <c r="D24" s="57">
        <f>'11.F&amp;V Crop Production details'!D85</f>
        <v>0</v>
      </c>
      <c r="E24" s="57">
        <f>'11.F&amp;V Crop Production details'!E85</f>
        <v>0</v>
      </c>
      <c r="F24" s="57">
        <f>'11.F&amp;V Crop Production details'!F85</f>
        <v>0</v>
      </c>
      <c r="G24" s="57">
        <f>'11.F&amp;V Crop Production details'!G85</f>
        <v>0</v>
      </c>
      <c r="H24" s="57">
        <f>'11.F&amp;V Crop Production details'!H85</f>
        <v>0</v>
      </c>
    </row>
    <row r="25" spans="1:8" ht="15.75" customHeight="1">
      <c r="A25" s="57" t="str">
        <f>'11.F&amp;V Crop Production details'!A86</f>
        <v>Chilli</v>
      </c>
      <c r="B25" s="57">
        <f>'11.F&amp;V Crop Production details'!B86</f>
        <v>0</v>
      </c>
      <c r="C25" s="57">
        <f>'11.F&amp;V Crop Production details'!C86</f>
        <v>0</v>
      </c>
      <c r="D25" s="57">
        <f>'11.F&amp;V Crop Production details'!D86</f>
        <v>0</v>
      </c>
      <c r="E25" s="57">
        <f>'11.F&amp;V Crop Production details'!E86</f>
        <v>0</v>
      </c>
      <c r="F25" s="57">
        <f>'11.F&amp;V Crop Production details'!F86</f>
        <v>0</v>
      </c>
      <c r="G25" s="57">
        <f>'11.F&amp;V Crop Production details'!G86</f>
        <v>0</v>
      </c>
      <c r="H25" s="57">
        <f>'11.F&amp;V Crop Production details'!H86</f>
        <v>0</v>
      </c>
    </row>
    <row r="26" spans="1:8" ht="15.75" customHeight="1">
      <c r="A26" s="57" t="str">
        <f>'11.F&amp;V Crop Production details'!A87</f>
        <v>Brinjal</v>
      </c>
      <c r="B26" s="57">
        <f>'11.F&amp;V Crop Production details'!B87</f>
        <v>0</v>
      </c>
      <c r="C26" s="57">
        <f>'11.F&amp;V Crop Production details'!C87</f>
        <v>0</v>
      </c>
      <c r="D26" s="57">
        <f>'11.F&amp;V Crop Production details'!D87</f>
        <v>0</v>
      </c>
      <c r="E26" s="57">
        <f>'11.F&amp;V Crop Production details'!E87</f>
        <v>0</v>
      </c>
      <c r="F26" s="57">
        <f>'11.F&amp;V Crop Production details'!F87</f>
        <v>0</v>
      </c>
      <c r="G26" s="57">
        <f>'11.F&amp;V Crop Production details'!G87</f>
        <v>0</v>
      </c>
      <c r="H26" s="57">
        <f>'11.F&amp;V Crop Production details'!H87</f>
        <v>0</v>
      </c>
    </row>
    <row r="27" spans="1:8" ht="15.75" customHeight="1">
      <c r="A27" s="57">
        <f>'11.F&amp;V Crop Production details'!A88</f>
        <v>0</v>
      </c>
      <c r="B27" s="57">
        <f>'11.F&amp;V Crop Production details'!B88</f>
        <v>0</v>
      </c>
      <c r="C27" s="57">
        <f>'11.F&amp;V Crop Production details'!C88</f>
        <v>0</v>
      </c>
      <c r="D27" s="57">
        <f>'11.F&amp;V Crop Production details'!D88</f>
        <v>0</v>
      </c>
      <c r="E27" s="57">
        <f>'11.F&amp;V Crop Production details'!E88</f>
        <v>0</v>
      </c>
      <c r="F27" s="57">
        <f>'11.F&amp;V Crop Production details'!F88</f>
        <v>0</v>
      </c>
      <c r="G27" s="57">
        <f>'11.F&amp;V Crop Production details'!G88</f>
        <v>0</v>
      </c>
      <c r="H27" s="57">
        <f>'11.F&amp;V Crop Production details'!H88</f>
        <v>0</v>
      </c>
    </row>
    <row r="28" spans="1:8" ht="15.75" customHeight="1">
      <c r="A28" s="57">
        <f>'11.F&amp;V Crop Production details'!A89</f>
        <v>0</v>
      </c>
      <c r="B28" s="57">
        <f>'11.F&amp;V Crop Production details'!B89</f>
        <v>0</v>
      </c>
      <c r="C28" s="57">
        <f>'11.F&amp;V Crop Production details'!C89</f>
        <v>0</v>
      </c>
      <c r="D28" s="57">
        <f>'11.F&amp;V Crop Production details'!D89</f>
        <v>0</v>
      </c>
      <c r="E28" s="57">
        <f>'11.F&amp;V Crop Production details'!E89</f>
        <v>0</v>
      </c>
      <c r="F28" s="57">
        <f>'11.F&amp;V Crop Production details'!F89</f>
        <v>0</v>
      </c>
      <c r="G28" s="57">
        <f>'11.F&amp;V Crop Production details'!G89</f>
        <v>0</v>
      </c>
      <c r="H28" s="57">
        <f>'11.F&amp;V Crop Production details'!H89</f>
        <v>0</v>
      </c>
    </row>
    <row r="29" spans="1:8" ht="15.75" customHeight="1">
      <c r="A29" s="57">
        <f>'11.F&amp;V Crop Production details'!A90</f>
        <v>0</v>
      </c>
      <c r="B29" s="57">
        <f>'11.F&amp;V Crop Production details'!B90</f>
        <v>0</v>
      </c>
      <c r="C29" s="57">
        <f>'11.F&amp;V Crop Production details'!C90</f>
        <v>0</v>
      </c>
      <c r="D29" s="57">
        <f>'11.F&amp;V Crop Production details'!D90</f>
        <v>0</v>
      </c>
      <c r="E29" s="57">
        <f>'11.F&amp;V Crop Production details'!E90</f>
        <v>0</v>
      </c>
      <c r="F29" s="57">
        <f>'11.F&amp;V Crop Production details'!F90</f>
        <v>0</v>
      </c>
      <c r="G29" s="57">
        <f>'11.F&amp;V Crop Production details'!G90</f>
        <v>0</v>
      </c>
      <c r="H29" s="57">
        <f>'11.F&amp;V Crop Production details'!H90</f>
        <v>0</v>
      </c>
    </row>
    <row r="30" spans="1:8" ht="15.75" customHeight="1">
      <c r="A30" s="57">
        <f>'11.F&amp;V Crop Production details'!A91</f>
        <v>0</v>
      </c>
      <c r="B30" s="57">
        <f>'11.F&amp;V Crop Production details'!B91</f>
        <v>0</v>
      </c>
      <c r="C30" s="57">
        <f>'11.F&amp;V Crop Production details'!C91</f>
        <v>0</v>
      </c>
      <c r="D30" s="57">
        <f>'11.F&amp;V Crop Production details'!D91</f>
        <v>0</v>
      </c>
      <c r="E30" s="57">
        <f>'11.F&amp;V Crop Production details'!E91</f>
        <v>0</v>
      </c>
      <c r="F30" s="57">
        <f>'11.F&amp;V Crop Production details'!F91</f>
        <v>0</v>
      </c>
      <c r="G30" s="57">
        <f>'11.F&amp;V Crop Production details'!G91</f>
        <v>0</v>
      </c>
      <c r="H30" s="57">
        <f>'11.F&amp;V Crop Production details'!H91</f>
        <v>0</v>
      </c>
    </row>
    <row r="31" spans="1:8" ht="15.75" customHeight="1">
      <c r="A31" s="57">
        <f>'11.F&amp;V Crop Production details'!A92</f>
        <v>0</v>
      </c>
      <c r="B31" s="57">
        <f>'11.F&amp;V Crop Production details'!B92</f>
        <v>0</v>
      </c>
      <c r="C31" s="57">
        <f>'11.F&amp;V Crop Production details'!C92</f>
        <v>0</v>
      </c>
      <c r="D31" s="57">
        <f>'11.F&amp;V Crop Production details'!D92</f>
        <v>0</v>
      </c>
      <c r="E31" s="57">
        <f>'11.F&amp;V Crop Production details'!E92</f>
        <v>0</v>
      </c>
      <c r="F31" s="57">
        <f>'11.F&amp;V Crop Production details'!F92</f>
        <v>0</v>
      </c>
      <c r="G31" s="57">
        <f>'11.F&amp;V Crop Production details'!G92</f>
        <v>0</v>
      </c>
      <c r="H31" s="57">
        <f>'11.F&amp;V Crop Production details'!H92</f>
        <v>0</v>
      </c>
    </row>
    <row r="32" spans="1:8" ht="15.75" customHeight="1">
      <c r="A32" s="57">
        <f>'11.F&amp;V Crop Production details'!A93</f>
        <v>0</v>
      </c>
      <c r="B32" s="57">
        <f>'11.F&amp;V Crop Production details'!B93</f>
        <v>0</v>
      </c>
      <c r="C32" s="57">
        <f>'11.F&amp;V Crop Production details'!C93</f>
        <v>0</v>
      </c>
      <c r="D32" s="57">
        <f>'11.F&amp;V Crop Production details'!D93</f>
        <v>0</v>
      </c>
      <c r="E32" s="57">
        <f>'11.F&amp;V Crop Production details'!E93</f>
        <v>0</v>
      </c>
      <c r="F32" s="57">
        <f>'11.F&amp;V Crop Production details'!F93</f>
        <v>0</v>
      </c>
      <c r="G32" s="57">
        <f>'11.F&amp;V Crop Production details'!G93</f>
        <v>0</v>
      </c>
      <c r="H32" s="57">
        <f>'11.F&amp;V Crop Production details'!H93</f>
        <v>0</v>
      </c>
    </row>
    <row r="33" spans="1:8" ht="15.75" customHeight="1">
      <c r="A33" s="57">
        <f>'11.F&amp;V Crop Production details'!A94</f>
        <v>0</v>
      </c>
      <c r="B33" s="57">
        <f>'11.F&amp;V Crop Production details'!B94</f>
        <v>0</v>
      </c>
      <c r="C33" s="57">
        <f>'11.F&amp;V Crop Production details'!C94</f>
        <v>0</v>
      </c>
      <c r="D33" s="57">
        <f>'11.F&amp;V Crop Production details'!D94</f>
        <v>0</v>
      </c>
      <c r="E33" s="57">
        <f>'11.F&amp;V Crop Production details'!E94</f>
        <v>0</v>
      </c>
      <c r="F33" s="57">
        <f>'11.F&amp;V Crop Production details'!F94</f>
        <v>0</v>
      </c>
      <c r="G33" s="57">
        <f>'11.F&amp;V Crop Production details'!G94</f>
        <v>0</v>
      </c>
      <c r="H33" s="57">
        <f>'11.F&amp;V Crop Production details'!H94</f>
        <v>0</v>
      </c>
    </row>
    <row r="34" spans="1:8" ht="15.75" customHeight="1">
      <c r="A34" s="57" t="str">
        <f>'11.F&amp;V Crop Production details'!A95</f>
        <v>Pomegranate</v>
      </c>
      <c r="B34" s="57">
        <f>'11.F&amp;V Crop Production details'!B95</f>
        <v>0</v>
      </c>
      <c r="C34" s="57">
        <f>'11.F&amp;V Crop Production details'!C95</f>
        <v>0</v>
      </c>
      <c r="D34" s="57">
        <f>'11.F&amp;V Crop Production details'!D95</f>
        <v>0</v>
      </c>
      <c r="E34" s="57">
        <f>'11.F&amp;V Crop Production details'!E95</f>
        <v>0</v>
      </c>
      <c r="F34" s="57">
        <f>'11.F&amp;V Crop Production details'!F95</f>
        <v>0</v>
      </c>
      <c r="G34" s="57">
        <f>'11.F&amp;V Crop Production details'!G95</f>
        <v>0</v>
      </c>
      <c r="H34" s="57">
        <f>'11.F&amp;V Crop Production details'!H95</f>
        <v>0</v>
      </c>
    </row>
    <row r="35" spans="1:8" ht="15.75" customHeight="1">
      <c r="A35" s="57" t="str">
        <f>'11.F&amp;V Crop Production details'!A96</f>
        <v>Custard Apple</v>
      </c>
      <c r="B35" s="57">
        <f>'11.F&amp;V Crop Production details'!B96</f>
        <v>0</v>
      </c>
      <c r="C35" s="57">
        <f>'11.F&amp;V Crop Production details'!C96</f>
        <v>0</v>
      </c>
      <c r="D35" s="57">
        <f>'11.F&amp;V Crop Production details'!D96</f>
        <v>0</v>
      </c>
      <c r="E35" s="57">
        <f>'11.F&amp;V Crop Production details'!E96</f>
        <v>0</v>
      </c>
      <c r="F35" s="57">
        <f>'11.F&amp;V Crop Production details'!F96</f>
        <v>0</v>
      </c>
      <c r="G35" s="57">
        <f>'11.F&amp;V Crop Production details'!G96</f>
        <v>0</v>
      </c>
      <c r="H35" s="57">
        <f>'11.F&amp;V Crop Production details'!H96</f>
        <v>0</v>
      </c>
    </row>
    <row r="36" spans="1:8" ht="15.75" customHeight="1">
      <c r="A36" s="57" t="str">
        <f>'11.F&amp;V Crop Production details'!A97</f>
        <v>Guava</v>
      </c>
      <c r="B36" s="57">
        <f>'11.F&amp;V Crop Production details'!B97</f>
        <v>0</v>
      </c>
      <c r="C36" s="57">
        <f>'11.F&amp;V Crop Production details'!C97</f>
        <v>0</v>
      </c>
      <c r="D36" s="57">
        <f>'11.F&amp;V Crop Production details'!D97</f>
        <v>0</v>
      </c>
      <c r="E36" s="57">
        <f>'11.F&amp;V Crop Production details'!E97</f>
        <v>0</v>
      </c>
      <c r="F36" s="57">
        <f>'11.F&amp;V Crop Production details'!F97</f>
        <v>0</v>
      </c>
      <c r="G36" s="57">
        <f>'11.F&amp;V Crop Production details'!G97</f>
        <v>0</v>
      </c>
      <c r="H36" s="57">
        <f>'11.F&amp;V Crop Production details'!H97</f>
        <v>0</v>
      </c>
    </row>
    <row r="37" spans="1:8" ht="15.75" customHeight="1">
      <c r="A37" s="57" t="str">
        <f>'11.F&amp;V Crop Production details'!A98</f>
        <v>Citrus</v>
      </c>
      <c r="B37" s="57">
        <f>'11.F&amp;V Crop Production details'!B98</f>
        <v>0</v>
      </c>
      <c r="C37" s="57">
        <f>'11.F&amp;V Crop Production details'!C98</f>
        <v>0</v>
      </c>
      <c r="D37" s="57">
        <f>'11.F&amp;V Crop Production details'!D98</f>
        <v>0</v>
      </c>
      <c r="E37" s="57">
        <f>'11.F&amp;V Crop Production details'!E98</f>
        <v>0</v>
      </c>
      <c r="F37" s="57">
        <f>'11.F&amp;V Crop Production details'!F98</f>
        <v>0</v>
      </c>
      <c r="G37" s="57">
        <f>'11.F&amp;V Crop Production details'!G98</f>
        <v>0</v>
      </c>
      <c r="H37" s="57">
        <f>'11.F&amp;V Crop Production details'!H98</f>
        <v>0</v>
      </c>
    </row>
    <row r="38" spans="1:8" ht="15.75" customHeight="1">
      <c r="A38" s="57"/>
      <c r="B38" s="57"/>
      <c r="C38" s="57"/>
      <c r="D38" s="57"/>
      <c r="E38" s="57"/>
      <c r="F38" s="57"/>
      <c r="G38" s="57"/>
      <c r="H38" s="57"/>
    </row>
    <row r="39" spans="1:8" ht="15.75" customHeight="1">
      <c r="A39" s="57" t="s">
        <v>600</v>
      </c>
      <c r="B39" s="57">
        <f t="shared" ref="B39:H39" si="1">SUM(B13:B37)</f>
        <v>0</v>
      </c>
      <c r="C39" s="57">
        <f t="shared" si="1"/>
        <v>0</v>
      </c>
      <c r="D39" s="57">
        <f t="shared" si="1"/>
        <v>0</v>
      </c>
      <c r="E39" s="57">
        <f t="shared" si="1"/>
        <v>0</v>
      </c>
      <c r="F39" s="57">
        <f t="shared" si="1"/>
        <v>0</v>
      </c>
      <c r="G39" s="57">
        <f t="shared" si="1"/>
        <v>0</v>
      </c>
      <c r="H39" s="57">
        <f t="shared" si="1"/>
        <v>0</v>
      </c>
    </row>
    <row r="40" spans="1:8" ht="15.75" customHeight="1">
      <c r="A40" s="177" t="s">
        <v>575</v>
      </c>
      <c r="B40" s="116">
        <v>0</v>
      </c>
      <c r="C40" s="116">
        <f t="shared" ref="C40:H40" si="2">B40</f>
        <v>0</v>
      </c>
      <c r="D40" s="116">
        <f t="shared" si="2"/>
        <v>0</v>
      </c>
      <c r="E40" s="116">
        <f t="shared" si="2"/>
        <v>0</v>
      </c>
      <c r="F40" s="116">
        <f t="shared" si="2"/>
        <v>0</v>
      </c>
      <c r="G40" s="116">
        <f t="shared" si="2"/>
        <v>0</v>
      </c>
      <c r="H40" s="116">
        <f t="shared" si="2"/>
        <v>0</v>
      </c>
    </row>
    <row r="41" spans="1:8" ht="15.75" customHeight="1">
      <c r="A41" s="57" t="s">
        <v>601</v>
      </c>
      <c r="B41" s="108">
        <f t="shared" ref="B41:H41" si="3">1-B40</f>
        <v>1</v>
      </c>
      <c r="C41" s="108">
        <f t="shared" si="3"/>
        <v>1</v>
      </c>
      <c r="D41" s="108">
        <f t="shared" si="3"/>
        <v>1</v>
      </c>
      <c r="E41" s="108">
        <f t="shared" si="3"/>
        <v>1</v>
      </c>
      <c r="F41" s="108">
        <f t="shared" si="3"/>
        <v>1</v>
      </c>
      <c r="G41" s="108">
        <f t="shared" si="3"/>
        <v>1</v>
      </c>
      <c r="H41" s="108">
        <f t="shared" si="3"/>
        <v>1</v>
      </c>
    </row>
    <row r="42" spans="1:8" ht="15.75" customHeight="1">
      <c r="A42" s="60" t="s">
        <v>575</v>
      </c>
      <c r="B42" s="174">
        <f t="shared" ref="B42:H42" si="4">B39*B40</f>
        <v>0</v>
      </c>
      <c r="C42" s="174">
        <f t="shared" si="4"/>
        <v>0</v>
      </c>
      <c r="D42" s="174">
        <f t="shared" si="4"/>
        <v>0</v>
      </c>
      <c r="E42" s="174">
        <f t="shared" si="4"/>
        <v>0</v>
      </c>
      <c r="F42" s="174">
        <f t="shared" si="4"/>
        <v>0</v>
      </c>
      <c r="G42" s="174">
        <f t="shared" si="4"/>
        <v>0</v>
      </c>
      <c r="H42" s="174">
        <f t="shared" si="4"/>
        <v>0</v>
      </c>
    </row>
    <row r="43" spans="1:8" ht="15.75" customHeight="1">
      <c r="A43" s="60" t="s">
        <v>576</v>
      </c>
      <c r="B43" s="61"/>
      <c r="C43" s="61"/>
      <c r="D43" s="61"/>
      <c r="E43" s="61"/>
      <c r="F43" s="61"/>
      <c r="G43" s="61"/>
      <c r="H43" s="61"/>
    </row>
    <row r="44" spans="1:8" ht="15.75" customHeight="1">
      <c r="A44" s="57" t="str">
        <f t="shared" ref="A44:A61" si="5">A13</f>
        <v>Onion</v>
      </c>
      <c r="B44" s="59">
        <f t="shared" ref="B44:B61" si="6">B13*$B$41</f>
        <v>0</v>
      </c>
      <c r="C44" s="59">
        <f t="shared" ref="C44:C61" si="7">C13*$C$41</f>
        <v>0</v>
      </c>
      <c r="D44" s="59">
        <f t="shared" ref="D44:D61" si="8">D13*$D$41</f>
        <v>0</v>
      </c>
      <c r="E44" s="59">
        <f t="shared" ref="E44:E61" si="9">E13*$E$41</f>
        <v>0</v>
      </c>
      <c r="F44" s="59">
        <f t="shared" ref="F44:F61" si="10">F13*$F$41</f>
        <v>0</v>
      </c>
      <c r="G44" s="59">
        <f t="shared" ref="G44:G61" si="11">G13*$G$41</f>
        <v>0</v>
      </c>
      <c r="H44" s="59">
        <f t="shared" ref="H44:H61" si="12">H13*$H$41</f>
        <v>0</v>
      </c>
    </row>
    <row r="45" spans="1:8" ht="15.75" customHeight="1">
      <c r="A45" s="57" t="str">
        <f t="shared" si="5"/>
        <v>Tomato</v>
      </c>
      <c r="B45" s="59">
        <f t="shared" si="6"/>
        <v>0</v>
      </c>
      <c r="C45" s="59">
        <f t="shared" si="7"/>
        <v>0</v>
      </c>
      <c r="D45" s="59">
        <f t="shared" si="8"/>
        <v>0</v>
      </c>
      <c r="E45" s="59">
        <f t="shared" si="9"/>
        <v>0</v>
      </c>
      <c r="F45" s="59">
        <f t="shared" si="10"/>
        <v>0</v>
      </c>
      <c r="G45" s="59">
        <f t="shared" si="11"/>
        <v>0</v>
      </c>
      <c r="H45" s="59">
        <f t="shared" si="12"/>
        <v>0</v>
      </c>
    </row>
    <row r="46" spans="1:8" ht="15.75" customHeight="1">
      <c r="A46" s="57" t="str">
        <f t="shared" si="5"/>
        <v>Okra</v>
      </c>
      <c r="B46" s="59">
        <f t="shared" si="6"/>
        <v>0</v>
      </c>
      <c r="C46" s="59">
        <f t="shared" si="7"/>
        <v>0</v>
      </c>
      <c r="D46" s="59">
        <f t="shared" si="8"/>
        <v>0</v>
      </c>
      <c r="E46" s="59">
        <f t="shared" si="9"/>
        <v>0</v>
      </c>
      <c r="F46" s="59">
        <f t="shared" si="10"/>
        <v>0</v>
      </c>
      <c r="G46" s="59">
        <f t="shared" si="11"/>
        <v>0</v>
      </c>
      <c r="H46" s="59">
        <f t="shared" si="12"/>
        <v>0</v>
      </c>
    </row>
    <row r="47" spans="1:8" ht="15.75" customHeight="1">
      <c r="A47" s="57" t="str">
        <f t="shared" si="5"/>
        <v>Chilli</v>
      </c>
      <c r="B47" s="59">
        <f t="shared" si="6"/>
        <v>0</v>
      </c>
      <c r="C47" s="59">
        <f t="shared" si="7"/>
        <v>0</v>
      </c>
      <c r="D47" s="59">
        <f t="shared" si="8"/>
        <v>0</v>
      </c>
      <c r="E47" s="59">
        <f t="shared" si="9"/>
        <v>0</v>
      </c>
      <c r="F47" s="59">
        <f t="shared" si="10"/>
        <v>0</v>
      </c>
      <c r="G47" s="59">
        <f t="shared" si="11"/>
        <v>0</v>
      </c>
      <c r="H47" s="59">
        <f t="shared" si="12"/>
        <v>0</v>
      </c>
    </row>
    <row r="48" spans="1:8" ht="15.75" customHeight="1">
      <c r="A48" s="57" t="str">
        <f t="shared" si="5"/>
        <v>Potato</v>
      </c>
      <c r="B48" s="59">
        <f t="shared" si="6"/>
        <v>0</v>
      </c>
      <c r="C48" s="59">
        <f t="shared" si="7"/>
        <v>0</v>
      </c>
      <c r="D48" s="59">
        <f t="shared" si="8"/>
        <v>0</v>
      </c>
      <c r="E48" s="59">
        <f t="shared" si="9"/>
        <v>0</v>
      </c>
      <c r="F48" s="59">
        <f t="shared" si="10"/>
        <v>0</v>
      </c>
      <c r="G48" s="59">
        <f t="shared" si="11"/>
        <v>0</v>
      </c>
      <c r="H48" s="59">
        <f t="shared" si="12"/>
        <v>0</v>
      </c>
    </row>
    <row r="49" spans="1:8" ht="15.75" customHeight="1">
      <c r="A49" s="57">
        <f t="shared" si="5"/>
        <v>0</v>
      </c>
      <c r="B49" s="59">
        <f t="shared" si="6"/>
        <v>0</v>
      </c>
      <c r="C49" s="59">
        <f t="shared" si="7"/>
        <v>0</v>
      </c>
      <c r="D49" s="59">
        <f t="shared" si="8"/>
        <v>0</v>
      </c>
      <c r="E49" s="59">
        <f t="shared" si="9"/>
        <v>0</v>
      </c>
      <c r="F49" s="59">
        <f t="shared" si="10"/>
        <v>0</v>
      </c>
      <c r="G49" s="59">
        <f t="shared" si="11"/>
        <v>0</v>
      </c>
      <c r="H49" s="59">
        <f t="shared" si="12"/>
        <v>0</v>
      </c>
    </row>
    <row r="50" spans="1:8" ht="15.75" customHeight="1">
      <c r="A50" s="57">
        <f t="shared" si="5"/>
        <v>0</v>
      </c>
      <c r="B50" s="59">
        <f t="shared" si="6"/>
        <v>0</v>
      </c>
      <c r="C50" s="59">
        <f t="shared" si="7"/>
        <v>0</v>
      </c>
      <c r="D50" s="59">
        <f t="shared" si="8"/>
        <v>0</v>
      </c>
      <c r="E50" s="59">
        <f t="shared" si="9"/>
        <v>0</v>
      </c>
      <c r="F50" s="59">
        <f t="shared" si="10"/>
        <v>0</v>
      </c>
      <c r="G50" s="59">
        <f t="shared" si="11"/>
        <v>0</v>
      </c>
      <c r="H50" s="59">
        <f t="shared" si="12"/>
        <v>0</v>
      </c>
    </row>
    <row r="51" spans="1:8" ht="15.75" customHeight="1">
      <c r="A51" s="57">
        <f t="shared" si="5"/>
        <v>0</v>
      </c>
      <c r="B51" s="59">
        <f t="shared" si="6"/>
        <v>0</v>
      </c>
      <c r="C51" s="59">
        <f t="shared" si="7"/>
        <v>0</v>
      </c>
      <c r="D51" s="59">
        <f t="shared" si="8"/>
        <v>0</v>
      </c>
      <c r="E51" s="59">
        <f t="shared" si="9"/>
        <v>0</v>
      </c>
      <c r="F51" s="59">
        <f t="shared" si="10"/>
        <v>0</v>
      </c>
      <c r="G51" s="59">
        <f t="shared" si="11"/>
        <v>0</v>
      </c>
      <c r="H51" s="59">
        <f t="shared" si="12"/>
        <v>0</v>
      </c>
    </row>
    <row r="52" spans="1:8" ht="15.75" customHeight="1">
      <c r="A52" s="57">
        <f t="shared" si="5"/>
        <v>0</v>
      </c>
      <c r="B52" s="59">
        <f t="shared" si="6"/>
        <v>0</v>
      </c>
      <c r="C52" s="59">
        <f t="shared" si="7"/>
        <v>0</v>
      </c>
      <c r="D52" s="59">
        <f t="shared" si="8"/>
        <v>0</v>
      </c>
      <c r="E52" s="59">
        <f t="shared" si="9"/>
        <v>0</v>
      </c>
      <c r="F52" s="59">
        <f t="shared" si="10"/>
        <v>0</v>
      </c>
      <c r="G52" s="59">
        <f t="shared" si="11"/>
        <v>0</v>
      </c>
      <c r="H52" s="59">
        <f t="shared" si="12"/>
        <v>0</v>
      </c>
    </row>
    <row r="53" spans="1:8" ht="15.75" customHeight="1">
      <c r="A53" s="57" t="str">
        <f t="shared" si="5"/>
        <v>Onion</v>
      </c>
      <c r="B53" s="59">
        <f t="shared" si="6"/>
        <v>0</v>
      </c>
      <c r="C53" s="59">
        <f t="shared" si="7"/>
        <v>0</v>
      </c>
      <c r="D53" s="59">
        <f t="shared" si="8"/>
        <v>0</v>
      </c>
      <c r="E53" s="59">
        <f t="shared" si="9"/>
        <v>0</v>
      </c>
      <c r="F53" s="59">
        <f t="shared" si="10"/>
        <v>0</v>
      </c>
      <c r="G53" s="59">
        <f t="shared" si="11"/>
        <v>0</v>
      </c>
      <c r="H53" s="59">
        <f t="shared" si="12"/>
        <v>0</v>
      </c>
    </row>
    <row r="54" spans="1:8" ht="15.75" customHeight="1">
      <c r="A54" s="57" t="str">
        <f t="shared" si="5"/>
        <v>Tomato</v>
      </c>
      <c r="B54" s="59">
        <f t="shared" si="6"/>
        <v>0</v>
      </c>
      <c r="C54" s="59">
        <f t="shared" si="7"/>
        <v>0</v>
      </c>
      <c r="D54" s="59">
        <f t="shared" si="8"/>
        <v>0</v>
      </c>
      <c r="E54" s="59">
        <f t="shared" si="9"/>
        <v>0</v>
      </c>
      <c r="F54" s="59">
        <f t="shared" si="10"/>
        <v>0</v>
      </c>
      <c r="G54" s="59">
        <f t="shared" si="11"/>
        <v>0</v>
      </c>
      <c r="H54" s="59">
        <f t="shared" si="12"/>
        <v>0</v>
      </c>
    </row>
    <row r="55" spans="1:8" ht="15.75" customHeight="1">
      <c r="A55" s="57" t="str">
        <f t="shared" si="5"/>
        <v>Okra</v>
      </c>
      <c r="B55" s="59">
        <f t="shared" si="6"/>
        <v>0</v>
      </c>
      <c r="C55" s="59">
        <f t="shared" si="7"/>
        <v>0</v>
      </c>
      <c r="D55" s="59">
        <f t="shared" si="8"/>
        <v>0</v>
      </c>
      <c r="E55" s="59">
        <f t="shared" si="9"/>
        <v>0</v>
      </c>
      <c r="F55" s="59">
        <f t="shared" si="10"/>
        <v>0</v>
      </c>
      <c r="G55" s="59">
        <f t="shared" si="11"/>
        <v>0</v>
      </c>
      <c r="H55" s="59">
        <f t="shared" si="12"/>
        <v>0</v>
      </c>
    </row>
    <row r="56" spans="1:8" ht="15.75" customHeight="1">
      <c r="A56" s="57" t="str">
        <f t="shared" si="5"/>
        <v>Chilli</v>
      </c>
      <c r="B56" s="59">
        <f t="shared" si="6"/>
        <v>0</v>
      </c>
      <c r="C56" s="59">
        <f t="shared" si="7"/>
        <v>0</v>
      </c>
      <c r="D56" s="59">
        <f t="shared" si="8"/>
        <v>0</v>
      </c>
      <c r="E56" s="59">
        <f t="shared" si="9"/>
        <v>0</v>
      </c>
      <c r="F56" s="59">
        <f t="shared" si="10"/>
        <v>0</v>
      </c>
      <c r="G56" s="59">
        <f t="shared" si="11"/>
        <v>0</v>
      </c>
      <c r="H56" s="59">
        <f t="shared" si="12"/>
        <v>0</v>
      </c>
    </row>
    <row r="57" spans="1:8" ht="15.75" customHeight="1">
      <c r="A57" s="57" t="str">
        <f t="shared" si="5"/>
        <v>Brinjal</v>
      </c>
      <c r="B57" s="59">
        <f t="shared" si="6"/>
        <v>0</v>
      </c>
      <c r="C57" s="59">
        <f t="shared" si="7"/>
        <v>0</v>
      </c>
      <c r="D57" s="59">
        <f t="shared" si="8"/>
        <v>0</v>
      </c>
      <c r="E57" s="59">
        <f t="shared" si="9"/>
        <v>0</v>
      </c>
      <c r="F57" s="59">
        <f t="shared" si="10"/>
        <v>0</v>
      </c>
      <c r="G57" s="59">
        <f t="shared" si="11"/>
        <v>0</v>
      </c>
      <c r="H57" s="59">
        <f t="shared" si="12"/>
        <v>0</v>
      </c>
    </row>
    <row r="58" spans="1:8" ht="15.75" customHeight="1">
      <c r="A58" s="57">
        <f t="shared" si="5"/>
        <v>0</v>
      </c>
      <c r="B58" s="59">
        <f t="shared" si="6"/>
        <v>0</v>
      </c>
      <c r="C58" s="59">
        <f t="shared" si="7"/>
        <v>0</v>
      </c>
      <c r="D58" s="59">
        <f t="shared" si="8"/>
        <v>0</v>
      </c>
      <c r="E58" s="59">
        <f t="shared" si="9"/>
        <v>0</v>
      </c>
      <c r="F58" s="59">
        <f t="shared" si="10"/>
        <v>0</v>
      </c>
      <c r="G58" s="59">
        <f t="shared" si="11"/>
        <v>0</v>
      </c>
      <c r="H58" s="59">
        <f t="shared" si="12"/>
        <v>0</v>
      </c>
    </row>
    <row r="59" spans="1:8" ht="15.75" customHeight="1">
      <c r="A59" s="57">
        <f t="shared" si="5"/>
        <v>0</v>
      </c>
      <c r="B59" s="59">
        <f t="shared" si="6"/>
        <v>0</v>
      </c>
      <c r="C59" s="59">
        <f t="shared" si="7"/>
        <v>0</v>
      </c>
      <c r="D59" s="59">
        <f t="shared" si="8"/>
        <v>0</v>
      </c>
      <c r="E59" s="59">
        <f t="shared" si="9"/>
        <v>0</v>
      </c>
      <c r="F59" s="59">
        <f t="shared" si="10"/>
        <v>0</v>
      </c>
      <c r="G59" s="59">
        <f t="shared" si="11"/>
        <v>0</v>
      </c>
      <c r="H59" s="59">
        <f t="shared" si="12"/>
        <v>0</v>
      </c>
    </row>
    <row r="60" spans="1:8" ht="15.75" customHeight="1">
      <c r="A60" s="57">
        <f t="shared" si="5"/>
        <v>0</v>
      </c>
      <c r="B60" s="59">
        <f t="shared" si="6"/>
        <v>0</v>
      </c>
      <c r="C60" s="59">
        <f t="shared" si="7"/>
        <v>0</v>
      </c>
      <c r="D60" s="59">
        <f t="shared" si="8"/>
        <v>0</v>
      </c>
      <c r="E60" s="59">
        <f t="shared" si="9"/>
        <v>0</v>
      </c>
      <c r="F60" s="59">
        <f t="shared" si="10"/>
        <v>0</v>
      </c>
      <c r="G60" s="59">
        <f t="shared" si="11"/>
        <v>0</v>
      </c>
      <c r="H60" s="59">
        <f t="shared" si="12"/>
        <v>0</v>
      </c>
    </row>
    <row r="61" spans="1:8" ht="15.75" customHeight="1">
      <c r="A61" s="57">
        <f t="shared" si="5"/>
        <v>0</v>
      </c>
      <c r="B61" s="59">
        <f t="shared" si="6"/>
        <v>0</v>
      </c>
      <c r="C61" s="59">
        <f t="shared" si="7"/>
        <v>0</v>
      </c>
      <c r="D61" s="59">
        <f t="shared" si="8"/>
        <v>0</v>
      </c>
      <c r="E61" s="59">
        <f t="shared" si="9"/>
        <v>0</v>
      </c>
      <c r="F61" s="59">
        <f t="shared" si="10"/>
        <v>0</v>
      </c>
      <c r="G61" s="59">
        <f t="shared" si="11"/>
        <v>0</v>
      </c>
      <c r="H61" s="59">
        <f t="shared" si="12"/>
        <v>0</v>
      </c>
    </row>
    <row r="62" spans="1:8" ht="15.75" customHeight="1">
      <c r="A62" s="57" t="str">
        <f t="shared" ref="A62:A65" si="13">A34</f>
        <v>Pomegranate</v>
      </c>
      <c r="B62" s="59">
        <f t="shared" ref="B62:H62" si="14">B34*$B$41</f>
        <v>0</v>
      </c>
      <c r="C62" s="59">
        <f t="shared" si="14"/>
        <v>0</v>
      </c>
      <c r="D62" s="59">
        <f t="shared" si="14"/>
        <v>0</v>
      </c>
      <c r="E62" s="59">
        <f t="shared" si="14"/>
        <v>0</v>
      </c>
      <c r="F62" s="59">
        <f t="shared" si="14"/>
        <v>0</v>
      </c>
      <c r="G62" s="59">
        <f t="shared" si="14"/>
        <v>0</v>
      </c>
      <c r="H62" s="59">
        <f t="shared" si="14"/>
        <v>0</v>
      </c>
    </row>
    <row r="63" spans="1:8" ht="15.75" customHeight="1">
      <c r="A63" s="57" t="str">
        <f t="shared" si="13"/>
        <v>Custard Apple</v>
      </c>
      <c r="B63" s="59">
        <f t="shared" ref="B63:H63" si="15">B35*$B$41</f>
        <v>0</v>
      </c>
      <c r="C63" s="59">
        <f t="shared" si="15"/>
        <v>0</v>
      </c>
      <c r="D63" s="59">
        <f t="shared" si="15"/>
        <v>0</v>
      </c>
      <c r="E63" s="59">
        <f t="shared" si="15"/>
        <v>0</v>
      </c>
      <c r="F63" s="59">
        <f t="shared" si="15"/>
        <v>0</v>
      </c>
      <c r="G63" s="59">
        <f t="shared" si="15"/>
        <v>0</v>
      </c>
      <c r="H63" s="59">
        <f t="shared" si="15"/>
        <v>0</v>
      </c>
    </row>
    <row r="64" spans="1:8" ht="15.75" customHeight="1">
      <c r="A64" s="57" t="str">
        <f t="shared" si="13"/>
        <v>Guava</v>
      </c>
      <c r="B64" s="59">
        <f t="shared" ref="B64:H64" si="16">B36*$B$41</f>
        <v>0</v>
      </c>
      <c r="C64" s="59">
        <f t="shared" si="16"/>
        <v>0</v>
      </c>
      <c r="D64" s="59">
        <f t="shared" si="16"/>
        <v>0</v>
      </c>
      <c r="E64" s="59">
        <f t="shared" si="16"/>
        <v>0</v>
      </c>
      <c r="F64" s="59">
        <f t="shared" si="16"/>
        <v>0</v>
      </c>
      <c r="G64" s="59">
        <f t="shared" si="16"/>
        <v>0</v>
      </c>
      <c r="H64" s="59">
        <f t="shared" si="16"/>
        <v>0</v>
      </c>
    </row>
    <row r="65" spans="1:8" ht="15.75" customHeight="1">
      <c r="A65" s="57" t="str">
        <f t="shared" si="13"/>
        <v>Citrus</v>
      </c>
      <c r="B65" s="59">
        <f t="shared" ref="B65:H65" si="17">B37*$B$41</f>
        <v>0</v>
      </c>
      <c r="C65" s="59">
        <f t="shared" si="17"/>
        <v>0</v>
      </c>
      <c r="D65" s="59">
        <f t="shared" si="17"/>
        <v>0</v>
      </c>
      <c r="E65" s="59">
        <f t="shared" si="17"/>
        <v>0</v>
      </c>
      <c r="F65" s="59">
        <f t="shared" si="17"/>
        <v>0</v>
      </c>
      <c r="G65" s="59">
        <f t="shared" si="17"/>
        <v>0</v>
      </c>
      <c r="H65" s="59">
        <f t="shared" si="17"/>
        <v>0</v>
      </c>
    </row>
    <row r="66" spans="1:8" ht="15.75" customHeight="1">
      <c r="A66" s="60" t="s">
        <v>602</v>
      </c>
      <c r="B66" s="57"/>
      <c r="C66" s="57"/>
      <c r="D66" s="57"/>
      <c r="E66" s="57"/>
      <c r="F66" s="57"/>
      <c r="G66" s="57"/>
      <c r="H66" s="57"/>
    </row>
    <row r="67" spans="1:8" ht="15.75" customHeight="1">
      <c r="A67" s="57" t="str">
        <f>A44</f>
        <v>Onion</v>
      </c>
      <c r="B67" s="144"/>
      <c r="C67" s="144"/>
      <c r="D67" s="144"/>
      <c r="E67" s="144"/>
      <c r="F67" s="144"/>
      <c r="G67" s="144"/>
      <c r="H67" s="144"/>
    </row>
    <row r="68" spans="1:8" ht="15.75" customHeight="1">
      <c r="A68" s="57"/>
      <c r="B68" s="144"/>
      <c r="C68" s="144"/>
      <c r="D68" s="144"/>
      <c r="E68" s="144"/>
      <c r="F68" s="144"/>
      <c r="G68" s="144"/>
      <c r="H68" s="144"/>
    </row>
    <row r="69" spans="1:8" ht="15.75" customHeight="1">
      <c r="A69" s="57"/>
      <c r="B69" s="144"/>
      <c r="C69" s="144"/>
      <c r="D69" s="144"/>
      <c r="E69" s="144"/>
      <c r="F69" s="144"/>
      <c r="G69" s="144"/>
      <c r="H69" s="144"/>
    </row>
    <row r="70" spans="1:8" ht="15.75" customHeight="1">
      <c r="A70" s="57"/>
      <c r="B70" s="144"/>
      <c r="C70" s="144"/>
      <c r="D70" s="144"/>
      <c r="E70" s="144"/>
      <c r="F70" s="144"/>
      <c r="G70" s="144"/>
      <c r="H70" s="144"/>
    </row>
    <row r="71" spans="1:8" ht="15.75" customHeight="1">
      <c r="A71" s="57" t="str">
        <f>A45</f>
        <v>Tomato</v>
      </c>
      <c r="B71" s="59"/>
      <c r="C71" s="59"/>
      <c r="D71" s="59"/>
      <c r="E71" s="59"/>
      <c r="F71" s="59"/>
      <c r="G71" s="59"/>
      <c r="H71" s="59"/>
    </row>
    <row r="72" spans="1:8" ht="15.75" customHeight="1">
      <c r="A72" s="57"/>
      <c r="B72" s="59"/>
      <c r="C72" s="59"/>
      <c r="D72" s="59"/>
      <c r="E72" s="59"/>
      <c r="F72" s="59"/>
      <c r="G72" s="59"/>
      <c r="H72" s="59"/>
    </row>
    <row r="73" spans="1:8" ht="15.75" customHeight="1">
      <c r="A73" s="57"/>
      <c r="B73" s="59"/>
      <c r="C73" s="59"/>
      <c r="D73" s="59"/>
      <c r="E73" s="59"/>
      <c r="F73" s="59"/>
      <c r="G73" s="59"/>
      <c r="H73" s="59"/>
    </row>
    <row r="74" spans="1:8" ht="15.75" customHeight="1">
      <c r="A74" s="57"/>
      <c r="B74" s="59"/>
      <c r="C74" s="59"/>
      <c r="D74" s="59"/>
      <c r="E74" s="59"/>
      <c r="F74" s="59"/>
      <c r="G74" s="59"/>
      <c r="H74" s="59"/>
    </row>
    <row r="75" spans="1:8" ht="15.75" customHeight="1">
      <c r="A75" s="57" t="str">
        <f>A46</f>
        <v>Okra</v>
      </c>
      <c r="B75" s="59"/>
      <c r="C75" s="59"/>
      <c r="D75" s="59"/>
      <c r="E75" s="59"/>
      <c r="F75" s="59"/>
      <c r="G75" s="59"/>
      <c r="H75" s="59"/>
    </row>
    <row r="76" spans="1:8" ht="15.75" customHeight="1">
      <c r="A76" s="57"/>
      <c r="B76" s="59"/>
      <c r="C76" s="59"/>
      <c r="D76" s="59"/>
      <c r="E76" s="59"/>
      <c r="F76" s="59"/>
      <c r="G76" s="59"/>
      <c r="H76" s="59"/>
    </row>
    <row r="77" spans="1:8" ht="15.75" customHeight="1">
      <c r="A77" s="57"/>
      <c r="B77" s="59"/>
      <c r="C77" s="59"/>
      <c r="D77" s="59"/>
      <c r="E77" s="59"/>
      <c r="F77" s="59"/>
      <c r="G77" s="59"/>
      <c r="H77" s="59"/>
    </row>
    <row r="78" spans="1:8" ht="15.75" customHeight="1">
      <c r="A78" s="57"/>
      <c r="B78" s="59"/>
      <c r="C78" s="59"/>
      <c r="D78" s="59"/>
      <c r="E78" s="59"/>
      <c r="F78" s="59"/>
      <c r="G78" s="59"/>
      <c r="H78" s="59"/>
    </row>
    <row r="79" spans="1:8" ht="15.75" customHeight="1">
      <c r="A79" s="57" t="str">
        <f>A47</f>
        <v>Chilli</v>
      </c>
      <c r="B79" s="59"/>
      <c r="C79" s="59"/>
      <c r="D79" s="59"/>
      <c r="E79" s="59"/>
      <c r="F79" s="59"/>
      <c r="G79" s="59"/>
      <c r="H79" s="59"/>
    </row>
    <row r="80" spans="1:8" ht="15.75" customHeight="1">
      <c r="A80" s="57"/>
      <c r="B80" s="59"/>
      <c r="C80" s="59"/>
      <c r="D80" s="59"/>
      <c r="E80" s="59"/>
      <c r="F80" s="59"/>
      <c r="G80" s="59"/>
      <c r="H80" s="59"/>
    </row>
    <row r="81" spans="1:8" ht="15.75" customHeight="1">
      <c r="A81" s="57"/>
      <c r="B81" s="59"/>
      <c r="C81" s="59"/>
      <c r="D81" s="59"/>
      <c r="E81" s="59"/>
      <c r="F81" s="59"/>
      <c r="G81" s="59"/>
      <c r="H81" s="59"/>
    </row>
    <row r="82" spans="1:8" ht="15.75" customHeight="1">
      <c r="A82" s="57"/>
      <c r="B82" s="59"/>
      <c r="C82" s="59"/>
      <c r="D82" s="59"/>
      <c r="E82" s="59"/>
      <c r="F82" s="59"/>
      <c r="G82" s="59"/>
      <c r="H82" s="59"/>
    </row>
    <row r="83" spans="1:8" ht="15.75" customHeight="1">
      <c r="A83" s="57" t="str">
        <f>A48</f>
        <v>Potato</v>
      </c>
      <c r="B83" s="59"/>
      <c r="C83" s="59"/>
      <c r="D83" s="59"/>
      <c r="E83" s="59"/>
      <c r="F83" s="59"/>
      <c r="G83" s="59"/>
      <c r="H83" s="59"/>
    </row>
    <row r="84" spans="1:8" ht="15.75" customHeight="1">
      <c r="A84" s="57"/>
      <c r="B84" s="59"/>
      <c r="C84" s="59"/>
      <c r="D84" s="59"/>
      <c r="E84" s="59"/>
      <c r="F84" s="59"/>
      <c r="G84" s="59"/>
      <c r="H84" s="59"/>
    </row>
    <row r="85" spans="1:8" ht="15.75" customHeight="1">
      <c r="A85" s="57"/>
      <c r="B85" s="59"/>
      <c r="C85" s="59"/>
      <c r="D85" s="59"/>
      <c r="E85" s="59"/>
      <c r="F85" s="59"/>
      <c r="G85" s="59"/>
      <c r="H85" s="59"/>
    </row>
    <row r="86" spans="1:8" ht="15.75" customHeight="1">
      <c r="A86" s="57"/>
      <c r="B86" s="59"/>
      <c r="C86" s="59"/>
      <c r="D86" s="59"/>
      <c r="E86" s="59"/>
      <c r="F86" s="59"/>
      <c r="G86" s="59"/>
      <c r="H86" s="59"/>
    </row>
    <row r="87" spans="1:8" ht="15.75" customHeight="1">
      <c r="A87" s="57">
        <f>A49</f>
        <v>0</v>
      </c>
      <c r="B87" s="59"/>
      <c r="C87" s="59"/>
      <c r="D87" s="59"/>
      <c r="E87" s="59"/>
      <c r="F87" s="59"/>
      <c r="G87" s="59"/>
      <c r="H87" s="59"/>
    </row>
    <row r="88" spans="1:8" ht="15.75" customHeight="1">
      <c r="A88" s="57"/>
      <c r="B88" s="59"/>
      <c r="C88" s="59"/>
      <c r="D88" s="59"/>
      <c r="E88" s="59"/>
      <c r="F88" s="59"/>
      <c r="G88" s="59"/>
      <c r="H88" s="59"/>
    </row>
    <row r="89" spans="1:8" ht="15.75" customHeight="1">
      <c r="A89" s="57"/>
      <c r="B89" s="59"/>
      <c r="C89" s="59"/>
      <c r="D89" s="59"/>
      <c r="E89" s="59"/>
      <c r="F89" s="59"/>
      <c r="G89" s="59"/>
      <c r="H89" s="59"/>
    </row>
    <row r="90" spans="1:8" ht="15.75" customHeight="1">
      <c r="A90" s="57"/>
      <c r="B90" s="59"/>
      <c r="C90" s="59"/>
      <c r="D90" s="59"/>
      <c r="E90" s="59"/>
      <c r="F90" s="59"/>
      <c r="G90" s="59"/>
      <c r="H90" s="59"/>
    </row>
    <row r="91" spans="1:8" ht="15.75" customHeight="1">
      <c r="A91" s="57">
        <f>A50</f>
        <v>0</v>
      </c>
      <c r="B91" s="59"/>
      <c r="C91" s="59"/>
      <c r="D91" s="59"/>
      <c r="E91" s="59"/>
      <c r="F91" s="59"/>
      <c r="G91" s="59"/>
      <c r="H91" s="59"/>
    </row>
    <row r="92" spans="1:8" ht="15.75" customHeight="1">
      <c r="A92" s="57"/>
      <c r="B92" s="59"/>
      <c r="C92" s="59"/>
      <c r="D92" s="59"/>
      <c r="E92" s="59"/>
      <c r="F92" s="59"/>
      <c r="G92" s="59"/>
      <c r="H92" s="59"/>
    </row>
    <row r="93" spans="1:8" ht="15.75" customHeight="1">
      <c r="A93" s="57"/>
      <c r="B93" s="59"/>
      <c r="C93" s="59"/>
      <c r="D93" s="59"/>
      <c r="E93" s="59"/>
      <c r="F93" s="59"/>
      <c r="G93" s="59"/>
      <c r="H93" s="59"/>
    </row>
    <row r="94" spans="1:8" ht="15.75" customHeight="1">
      <c r="A94" s="57">
        <f>A51</f>
        <v>0</v>
      </c>
      <c r="B94" s="59"/>
      <c r="C94" s="59"/>
      <c r="D94" s="59"/>
      <c r="E94" s="59"/>
      <c r="F94" s="59"/>
      <c r="G94" s="59"/>
      <c r="H94" s="59"/>
    </row>
    <row r="95" spans="1:8" ht="15.75" customHeight="1">
      <c r="A95" s="57"/>
      <c r="B95" s="59"/>
      <c r="C95" s="59"/>
      <c r="D95" s="59"/>
      <c r="E95" s="59"/>
      <c r="F95" s="59"/>
      <c r="G95" s="59"/>
      <c r="H95" s="59"/>
    </row>
    <row r="96" spans="1:8" ht="15.75" customHeight="1">
      <c r="A96" s="57"/>
      <c r="B96" s="59"/>
      <c r="C96" s="59"/>
      <c r="D96" s="59"/>
      <c r="E96" s="59"/>
      <c r="F96" s="59"/>
      <c r="G96" s="59"/>
      <c r="H96" s="59"/>
    </row>
    <row r="97" spans="1:8" ht="15.75" customHeight="1">
      <c r="A97" s="57"/>
      <c r="B97" s="59"/>
      <c r="C97" s="59"/>
      <c r="D97" s="59"/>
      <c r="E97" s="59"/>
      <c r="F97" s="59"/>
      <c r="G97" s="59"/>
      <c r="H97" s="59"/>
    </row>
    <row r="98" spans="1:8" ht="15.75" customHeight="1">
      <c r="A98" s="57">
        <f>A52</f>
        <v>0</v>
      </c>
      <c r="B98" s="59"/>
      <c r="C98" s="59"/>
      <c r="D98" s="59"/>
      <c r="E98" s="59"/>
      <c r="F98" s="59"/>
      <c r="G98" s="59"/>
      <c r="H98" s="59"/>
    </row>
    <row r="99" spans="1:8" ht="15.75" customHeight="1">
      <c r="A99" s="57"/>
      <c r="B99" s="59"/>
      <c r="C99" s="59"/>
      <c r="D99" s="59"/>
      <c r="E99" s="59"/>
      <c r="F99" s="59"/>
      <c r="G99" s="59"/>
      <c r="H99" s="59"/>
    </row>
    <row r="100" spans="1:8" ht="15.75" customHeight="1">
      <c r="A100" s="57"/>
      <c r="B100" s="59"/>
      <c r="C100" s="59"/>
      <c r="D100" s="59"/>
      <c r="E100" s="59"/>
      <c r="F100" s="59"/>
      <c r="G100" s="59"/>
      <c r="H100" s="59"/>
    </row>
    <row r="101" spans="1:8" ht="15.75" customHeight="1">
      <c r="A101" s="57"/>
      <c r="B101" s="59"/>
      <c r="C101" s="59"/>
      <c r="D101" s="59"/>
      <c r="E101" s="59"/>
      <c r="F101" s="59"/>
      <c r="G101" s="59"/>
      <c r="H101" s="59"/>
    </row>
    <row r="102" spans="1:8" ht="15.75" customHeight="1">
      <c r="A102" s="57" t="str">
        <f>A53</f>
        <v>Onion</v>
      </c>
      <c r="B102" s="59"/>
      <c r="C102" s="59"/>
      <c r="D102" s="59"/>
      <c r="E102" s="59"/>
      <c r="F102" s="59"/>
      <c r="G102" s="59"/>
      <c r="H102" s="59"/>
    </row>
    <row r="103" spans="1:8" ht="15.75" customHeight="1">
      <c r="A103" s="57"/>
      <c r="B103" s="59"/>
      <c r="C103" s="59"/>
      <c r="D103" s="59"/>
      <c r="E103" s="59"/>
      <c r="F103" s="59"/>
      <c r="G103" s="59"/>
      <c r="H103" s="59"/>
    </row>
    <row r="104" spans="1:8" ht="15.75" customHeight="1">
      <c r="A104" s="57"/>
      <c r="B104" s="59"/>
      <c r="C104" s="59"/>
      <c r="D104" s="59"/>
      <c r="E104" s="59"/>
      <c r="F104" s="59"/>
      <c r="G104" s="59"/>
      <c r="H104" s="59"/>
    </row>
    <row r="105" spans="1:8" ht="15.75" customHeight="1">
      <c r="A105" s="57"/>
      <c r="B105" s="59"/>
      <c r="C105" s="59"/>
      <c r="D105" s="59"/>
      <c r="E105" s="59"/>
      <c r="F105" s="59"/>
      <c r="G105" s="59"/>
      <c r="H105" s="59"/>
    </row>
    <row r="106" spans="1:8" ht="15.75" customHeight="1">
      <c r="A106" s="57" t="str">
        <f>A54</f>
        <v>Tomato</v>
      </c>
      <c r="B106" s="59"/>
      <c r="C106" s="59"/>
      <c r="D106" s="59"/>
      <c r="E106" s="59"/>
      <c r="F106" s="59"/>
      <c r="G106" s="59"/>
      <c r="H106" s="59"/>
    </row>
    <row r="107" spans="1:8" ht="15.75" customHeight="1">
      <c r="A107" s="57"/>
      <c r="B107" s="59"/>
      <c r="C107" s="59"/>
      <c r="D107" s="59"/>
      <c r="E107" s="59"/>
      <c r="F107" s="59"/>
      <c r="G107" s="59"/>
      <c r="H107" s="59"/>
    </row>
    <row r="108" spans="1:8" ht="15.75" customHeight="1">
      <c r="A108" s="57"/>
      <c r="B108" s="59"/>
      <c r="C108" s="59"/>
      <c r="D108" s="59"/>
      <c r="E108" s="59"/>
      <c r="F108" s="59"/>
      <c r="G108" s="59"/>
      <c r="H108" s="59"/>
    </row>
    <row r="109" spans="1:8" ht="15.75" customHeight="1">
      <c r="A109" s="57"/>
      <c r="B109" s="59"/>
      <c r="C109" s="59"/>
      <c r="D109" s="59"/>
      <c r="E109" s="59"/>
      <c r="F109" s="59"/>
      <c r="G109" s="59"/>
      <c r="H109" s="59"/>
    </row>
    <row r="110" spans="1:8" ht="15.75" customHeight="1">
      <c r="A110" s="57" t="str">
        <f>A55</f>
        <v>Okra</v>
      </c>
      <c r="B110" s="59"/>
      <c r="C110" s="59"/>
      <c r="D110" s="59"/>
      <c r="E110" s="59"/>
      <c r="F110" s="59"/>
      <c r="G110" s="59"/>
      <c r="H110" s="59"/>
    </row>
    <row r="111" spans="1:8" ht="15.75" customHeight="1">
      <c r="A111" s="57"/>
      <c r="B111" s="59"/>
      <c r="C111" s="59"/>
      <c r="D111" s="59"/>
      <c r="E111" s="59"/>
      <c r="F111" s="59"/>
      <c r="G111" s="59"/>
      <c r="H111" s="59"/>
    </row>
    <row r="112" spans="1:8" ht="15.75" customHeight="1">
      <c r="A112" s="57"/>
      <c r="B112" s="59"/>
      <c r="C112" s="59"/>
      <c r="D112" s="59"/>
      <c r="E112" s="59"/>
      <c r="F112" s="59"/>
      <c r="G112" s="59"/>
      <c r="H112" s="59"/>
    </row>
    <row r="113" spans="1:8" ht="15.75" customHeight="1">
      <c r="A113" s="57"/>
      <c r="B113" s="59"/>
      <c r="C113" s="59"/>
      <c r="D113" s="59"/>
      <c r="E113" s="59"/>
      <c r="F113" s="59"/>
      <c r="G113" s="59"/>
      <c r="H113" s="59"/>
    </row>
    <row r="114" spans="1:8" ht="15.75" customHeight="1">
      <c r="A114" s="57" t="str">
        <f>A56</f>
        <v>Chilli</v>
      </c>
      <c r="B114" s="59"/>
      <c r="C114" s="59"/>
      <c r="D114" s="59"/>
      <c r="E114" s="59"/>
      <c r="F114" s="59"/>
      <c r="G114" s="59"/>
      <c r="H114" s="59"/>
    </row>
    <row r="115" spans="1:8" ht="15.75" customHeight="1">
      <c r="A115" s="57"/>
      <c r="B115" s="59"/>
      <c r="C115" s="59"/>
      <c r="D115" s="59"/>
      <c r="E115" s="59"/>
      <c r="F115" s="59"/>
      <c r="G115" s="59"/>
      <c r="H115" s="59"/>
    </row>
    <row r="116" spans="1:8" ht="15.75" customHeight="1">
      <c r="A116" s="57"/>
      <c r="B116" s="59"/>
      <c r="C116" s="59"/>
      <c r="D116" s="59"/>
      <c r="E116" s="59"/>
      <c r="F116" s="59"/>
      <c r="G116" s="59"/>
      <c r="H116" s="59"/>
    </row>
    <row r="117" spans="1:8" ht="15.75" customHeight="1">
      <c r="A117" s="57"/>
      <c r="B117" s="59"/>
      <c r="C117" s="59"/>
      <c r="D117" s="59"/>
      <c r="E117" s="59"/>
      <c r="F117" s="59"/>
      <c r="G117" s="59"/>
      <c r="H117" s="59"/>
    </row>
    <row r="118" spans="1:8" ht="15.75" customHeight="1">
      <c r="A118" s="60" t="str">
        <f t="shared" ref="A118:A123" si="18">A57</f>
        <v>Brinjal</v>
      </c>
      <c r="B118" s="59"/>
      <c r="C118" s="59"/>
      <c r="D118" s="59"/>
      <c r="E118" s="59"/>
      <c r="F118" s="59"/>
      <c r="G118" s="59"/>
      <c r="H118" s="59"/>
    </row>
    <row r="119" spans="1:8" ht="15.75" customHeight="1">
      <c r="A119" s="57">
        <f t="shared" si="18"/>
        <v>0</v>
      </c>
      <c r="B119" s="59"/>
      <c r="C119" s="59"/>
      <c r="D119" s="59"/>
      <c r="E119" s="59"/>
      <c r="F119" s="59"/>
      <c r="G119" s="59"/>
      <c r="H119" s="59"/>
    </row>
    <row r="120" spans="1:8" ht="15.75" customHeight="1">
      <c r="A120" s="57">
        <f t="shared" si="18"/>
        <v>0</v>
      </c>
      <c r="B120" s="59"/>
      <c r="C120" s="59"/>
      <c r="D120" s="59"/>
      <c r="E120" s="59"/>
      <c r="F120" s="59"/>
      <c r="G120" s="59"/>
      <c r="H120" s="59"/>
    </row>
    <row r="121" spans="1:8" ht="15.75" customHeight="1">
      <c r="A121" s="57">
        <f t="shared" si="18"/>
        <v>0</v>
      </c>
      <c r="B121" s="59"/>
      <c r="C121" s="59"/>
      <c r="D121" s="59"/>
      <c r="E121" s="59"/>
      <c r="F121" s="59"/>
      <c r="G121" s="59"/>
      <c r="H121" s="59"/>
    </row>
    <row r="122" spans="1:8" ht="15.75" customHeight="1">
      <c r="A122" s="57">
        <f t="shared" si="18"/>
        <v>0</v>
      </c>
      <c r="B122" s="59"/>
      <c r="C122" s="59"/>
      <c r="D122" s="59"/>
      <c r="E122" s="59"/>
      <c r="F122" s="59"/>
      <c r="G122" s="59"/>
      <c r="H122" s="59"/>
    </row>
    <row r="123" spans="1:8" ht="15.75" customHeight="1">
      <c r="A123" s="60" t="str">
        <f t="shared" si="18"/>
        <v>Pomegranate</v>
      </c>
      <c r="B123" s="59"/>
      <c r="C123" s="59"/>
      <c r="D123" s="59"/>
      <c r="E123" s="59"/>
      <c r="F123" s="59"/>
      <c r="G123" s="59"/>
      <c r="H123" s="59"/>
    </row>
    <row r="124" spans="1:8" ht="15.75" customHeight="1">
      <c r="A124" s="57" t="s">
        <v>689</v>
      </c>
      <c r="B124" s="59">
        <f t="shared" ref="B124:H124" si="19">(B$62*50%)*0.7</f>
        <v>0</v>
      </c>
      <c r="C124" s="59">
        <f t="shared" si="19"/>
        <v>0</v>
      </c>
      <c r="D124" s="59">
        <f t="shared" si="19"/>
        <v>0</v>
      </c>
      <c r="E124" s="59">
        <f t="shared" si="19"/>
        <v>0</v>
      </c>
      <c r="F124" s="59">
        <f t="shared" si="19"/>
        <v>0</v>
      </c>
      <c r="G124" s="59">
        <f t="shared" si="19"/>
        <v>0</v>
      </c>
      <c r="H124" s="59">
        <f t="shared" si="19"/>
        <v>0</v>
      </c>
    </row>
    <row r="125" spans="1:8" ht="15.75" customHeight="1">
      <c r="A125" s="57" t="s">
        <v>690</v>
      </c>
      <c r="B125" s="59">
        <f>(B$62*50%)*0.7*2</f>
        <v>0</v>
      </c>
      <c r="C125" s="59">
        <f t="shared" ref="C125:H125" si="20">(C$62*50%)*0.7</f>
        <v>0</v>
      </c>
      <c r="D125" s="59">
        <f t="shared" si="20"/>
        <v>0</v>
      </c>
      <c r="E125" s="59">
        <f t="shared" si="20"/>
        <v>0</v>
      </c>
      <c r="F125" s="59">
        <f t="shared" si="20"/>
        <v>0</v>
      </c>
      <c r="G125" s="59">
        <f t="shared" si="20"/>
        <v>0</v>
      </c>
      <c r="H125" s="59">
        <f t="shared" si="20"/>
        <v>0</v>
      </c>
    </row>
    <row r="126" spans="1:8" ht="15.75" customHeight="1">
      <c r="A126" s="57" t="s">
        <v>691</v>
      </c>
      <c r="B126" s="59">
        <f>(B$62*0.3)*0.2</f>
        <v>0</v>
      </c>
      <c r="C126" s="59">
        <f t="shared" ref="C126:H126" si="21">(C$62*50%)*0.7</f>
        <v>0</v>
      </c>
      <c r="D126" s="59">
        <f t="shared" si="21"/>
        <v>0</v>
      </c>
      <c r="E126" s="59">
        <f t="shared" si="21"/>
        <v>0</v>
      </c>
      <c r="F126" s="59">
        <f t="shared" si="21"/>
        <v>0</v>
      </c>
      <c r="G126" s="59">
        <f t="shared" si="21"/>
        <v>0</v>
      </c>
      <c r="H126" s="59">
        <f t="shared" si="21"/>
        <v>0</v>
      </c>
    </row>
    <row r="127" spans="1:8" ht="15.75" customHeight="1">
      <c r="A127" s="57" t="str">
        <f>A63</f>
        <v>Custard Apple</v>
      </c>
      <c r="B127" s="59"/>
      <c r="C127" s="59"/>
      <c r="D127" s="59"/>
      <c r="E127" s="59"/>
      <c r="F127" s="59"/>
      <c r="G127" s="59"/>
      <c r="H127" s="59"/>
    </row>
    <row r="128" spans="1:8" ht="15.75" customHeight="1">
      <c r="A128" s="57"/>
      <c r="B128" s="59"/>
      <c r="C128" s="59"/>
      <c r="D128" s="59"/>
      <c r="E128" s="59"/>
      <c r="F128" s="59"/>
      <c r="G128" s="59"/>
      <c r="H128" s="59"/>
    </row>
    <row r="129" spans="1:8" ht="15.75" customHeight="1">
      <c r="A129" s="57"/>
      <c r="B129" s="59"/>
      <c r="C129" s="59"/>
      <c r="D129" s="59"/>
      <c r="E129" s="59"/>
      <c r="F129" s="59"/>
      <c r="G129" s="59"/>
      <c r="H129" s="59"/>
    </row>
    <row r="130" spans="1:8" ht="15.75" customHeight="1">
      <c r="A130" s="57"/>
      <c r="B130" s="59"/>
      <c r="C130" s="59"/>
      <c r="D130" s="59"/>
      <c r="E130" s="59"/>
      <c r="F130" s="59"/>
      <c r="G130" s="59"/>
      <c r="H130" s="59"/>
    </row>
    <row r="131" spans="1:8" ht="15.75" customHeight="1">
      <c r="A131" s="57" t="str">
        <f>A64</f>
        <v>Guava</v>
      </c>
      <c r="B131" s="59"/>
      <c r="C131" s="59"/>
      <c r="D131" s="59"/>
      <c r="E131" s="59"/>
      <c r="F131" s="59"/>
      <c r="G131" s="59"/>
      <c r="H131" s="59"/>
    </row>
    <row r="132" spans="1:8" ht="15.75" customHeight="1">
      <c r="A132" s="57"/>
      <c r="B132" s="59"/>
      <c r="C132" s="59"/>
      <c r="D132" s="59"/>
      <c r="E132" s="59"/>
      <c r="F132" s="59"/>
      <c r="G132" s="59"/>
      <c r="H132" s="59"/>
    </row>
    <row r="133" spans="1:8" ht="15.75" customHeight="1">
      <c r="A133" s="57"/>
      <c r="B133" s="59"/>
      <c r="C133" s="59"/>
      <c r="D133" s="59"/>
      <c r="E133" s="59"/>
      <c r="F133" s="59"/>
      <c r="G133" s="59"/>
      <c r="H133" s="59"/>
    </row>
    <row r="134" spans="1:8" ht="15.75" customHeight="1">
      <c r="A134" s="57"/>
      <c r="B134" s="59"/>
      <c r="C134" s="59"/>
      <c r="D134" s="59"/>
      <c r="E134" s="59"/>
      <c r="F134" s="59"/>
      <c r="G134" s="59"/>
      <c r="H134" s="59"/>
    </row>
    <row r="135" spans="1:8" ht="15.75" customHeight="1">
      <c r="A135" s="57" t="str">
        <f>A65</f>
        <v>Citrus</v>
      </c>
      <c r="B135" s="59"/>
      <c r="C135" s="59"/>
      <c r="D135" s="59"/>
      <c r="E135" s="59"/>
      <c r="F135" s="59"/>
      <c r="G135" s="59"/>
      <c r="H135" s="59"/>
    </row>
    <row r="136" spans="1:8" ht="15.75" customHeight="1">
      <c r="A136" s="57"/>
      <c r="B136" s="59"/>
      <c r="C136" s="59"/>
      <c r="D136" s="59"/>
      <c r="E136" s="59"/>
      <c r="F136" s="59"/>
      <c r="G136" s="59"/>
      <c r="H136" s="59"/>
    </row>
    <row r="137" spans="1:8" ht="15.75" customHeight="1">
      <c r="A137" s="57"/>
      <c r="B137" s="59"/>
      <c r="C137" s="59"/>
      <c r="D137" s="59"/>
      <c r="E137" s="59"/>
      <c r="F137" s="59"/>
      <c r="G137" s="59"/>
      <c r="H137" s="59"/>
    </row>
    <row r="138" spans="1:8" ht="15.75" customHeight="1">
      <c r="A138" s="57"/>
      <c r="B138" s="59"/>
      <c r="C138" s="59"/>
      <c r="D138" s="59"/>
      <c r="E138" s="59"/>
      <c r="F138" s="59"/>
      <c r="G138" s="59"/>
      <c r="H138" s="59"/>
    </row>
    <row r="139" spans="1:8" ht="15.75" customHeight="1">
      <c r="A139" s="52"/>
      <c r="B139" s="96"/>
      <c r="C139" s="96"/>
      <c r="D139" s="96"/>
      <c r="E139" s="96"/>
      <c r="F139" s="96"/>
      <c r="G139" s="96"/>
      <c r="H139" s="96"/>
    </row>
    <row r="140" spans="1:8" ht="15.75" customHeight="1">
      <c r="A140" s="52" t="s">
        <v>605</v>
      </c>
    </row>
    <row r="141" spans="1:8" ht="15.75" customHeight="1">
      <c r="A141" t="s">
        <v>692</v>
      </c>
      <c r="B141" s="130">
        <f t="shared" ref="B141:H141" si="22">(B124*100)</f>
        <v>0</v>
      </c>
      <c r="C141" s="130">
        <f t="shared" si="22"/>
        <v>0</v>
      </c>
      <c r="D141" s="130">
        <f t="shared" si="22"/>
        <v>0</v>
      </c>
      <c r="E141" s="130">
        <f t="shared" si="22"/>
        <v>0</v>
      </c>
      <c r="F141" s="130">
        <f t="shared" si="22"/>
        <v>0</v>
      </c>
      <c r="G141" s="130">
        <f t="shared" si="22"/>
        <v>0</v>
      </c>
      <c r="H141" s="130">
        <f t="shared" si="22"/>
        <v>0</v>
      </c>
    </row>
    <row r="142" spans="1:8" ht="15.75" customHeight="1">
      <c r="A142" t="s">
        <v>693</v>
      </c>
      <c r="B142" s="130">
        <f t="shared" ref="B142:H142" si="23">(B125*100)</f>
        <v>0</v>
      </c>
      <c r="C142" s="130">
        <f t="shared" si="23"/>
        <v>0</v>
      </c>
      <c r="D142" s="130">
        <f t="shared" si="23"/>
        <v>0</v>
      </c>
      <c r="E142" s="130">
        <f t="shared" si="23"/>
        <v>0</v>
      </c>
      <c r="F142" s="130">
        <f t="shared" si="23"/>
        <v>0</v>
      </c>
      <c r="G142" s="130">
        <f t="shared" si="23"/>
        <v>0</v>
      </c>
      <c r="H142" s="130">
        <f t="shared" si="23"/>
        <v>0</v>
      </c>
    </row>
    <row r="143" spans="1:8" ht="15.75" customHeight="1">
      <c r="A143" t="s">
        <v>694</v>
      </c>
      <c r="B143" s="130">
        <f t="shared" ref="B143:H143" si="24">(B126*100)</f>
        <v>0</v>
      </c>
      <c r="C143" s="130">
        <f t="shared" si="24"/>
        <v>0</v>
      </c>
      <c r="D143" s="130">
        <f t="shared" si="24"/>
        <v>0</v>
      </c>
      <c r="E143" s="130">
        <f t="shared" si="24"/>
        <v>0</v>
      </c>
      <c r="F143" s="130">
        <f t="shared" si="24"/>
        <v>0</v>
      </c>
      <c r="G143" s="130">
        <f t="shared" si="24"/>
        <v>0</v>
      </c>
      <c r="H143" s="130">
        <f t="shared" si="24"/>
        <v>0</v>
      </c>
    </row>
    <row r="144" spans="1:8" ht="15.75" customHeight="1"/>
    <row r="145" spans="1:10" ht="15.75" customHeight="1">
      <c r="B145" s="130"/>
      <c r="C145" s="130"/>
    </row>
    <row r="146" spans="1:10" ht="15.75" customHeight="1">
      <c r="B146" s="130"/>
      <c r="C146" s="130"/>
      <c r="D146" s="130"/>
    </row>
    <row r="147" spans="1:10" ht="15.75" customHeight="1">
      <c r="A147" s="267" t="s">
        <v>695</v>
      </c>
      <c r="B147" s="251"/>
      <c r="C147" s="251"/>
      <c r="D147" s="251"/>
      <c r="E147" s="251"/>
      <c r="F147" s="251"/>
      <c r="G147" s="251"/>
      <c r="H147" s="251"/>
      <c r="I147" s="251"/>
      <c r="J147" s="251"/>
    </row>
    <row r="148" spans="1:10" ht="15.75" customHeight="1">
      <c r="A148" s="24"/>
      <c r="B148" s="24"/>
      <c r="C148" s="24"/>
      <c r="D148" s="24"/>
      <c r="E148" s="24"/>
      <c r="F148" s="24"/>
      <c r="G148" s="24"/>
      <c r="H148" s="24"/>
    </row>
    <row r="149" spans="1:10" ht="15.75" customHeight="1">
      <c r="A149" s="74"/>
      <c r="B149" s="74"/>
      <c r="C149" s="74"/>
      <c r="D149" s="172">
        <v>1</v>
      </c>
      <c r="E149" s="173">
        <f t="shared" ref="E149:J149" si="25">(D149*5%)+D149</f>
        <v>1.05</v>
      </c>
      <c r="F149" s="173">
        <f t="shared" si="25"/>
        <v>1.1025</v>
      </c>
      <c r="G149" s="173">
        <f t="shared" si="25"/>
        <v>1.1576250000000001</v>
      </c>
      <c r="H149" s="173">
        <f t="shared" si="25"/>
        <v>1.2155062500000002</v>
      </c>
      <c r="I149" s="173">
        <f t="shared" si="25"/>
        <v>1.2762815625000004</v>
      </c>
      <c r="J149" s="173">
        <f t="shared" si="25"/>
        <v>1.3400956406250004</v>
      </c>
    </row>
    <row r="150" spans="1:10" ht="15.75" customHeight="1">
      <c r="A150" s="52"/>
      <c r="B150" s="52"/>
      <c r="C150" s="52"/>
      <c r="D150" s="52"/>
      <c r="E150" s="52"/>
      <c r="F150" s="52"/>
      <c r="G150" s="52"/>
      <c r="H150" s="52"/>
      <c r="I150" s="52"/>
      <c r="J150" s="52"/>
    </row>
    <row r="151" spans="1:10" ht="15.75" customHeight="1">
      <c r="A151" s="55" t="s">
        <v>150</v>
      </c>
      <c r="B151" s="55" t="s">
        <v>122</v>
      </c>
      <c r="C151" s="55" t="s">
        <v>132</v>
      </c>
      <c r="D151" s="56" t="s">
        <v>153</v>
      </c>
      <c r="E151" s="56" t="s">
        <v>154</v>
      </c>
      <c r="F151" s="56" t="s">
        <v>155</v>
      </c>
      <c r="G151" s="56" t="s">
        <v>156</v>
      </c>
      <c r="H151" s="56" t="s">
        <v>157</v>
      </c>
      <c r="I151" s="56" t="s">
        <v>158</v>
      </c>
      <c r="J151" s="56" t="s">
        <v>159</v>
      </c>
    </row>
    <row r="152" spans="1:10" ht="15.75" customHeight="1">
      <c r="A152" s="57"/>
      <c r="B152" s="57"/>
      <c r="C152" s="57"/>
      <c r="D152" s="57"/>
      <c r="E152" s="57"/>
      <c r="F152" s="57"/>
      <c r="G152" s="57"/>
      <c r="H152" s="57"/>
      <c r="I152" s="57"/>
      <c r="J152" s="57"/>
    </row>
    <row r="153" spans="1:10" ht="15.75" customHeight="1">
      <c r="A153" s="60" t="s">
        <v>347</v>
      </c>
      <c r="B153" s="60"/>
      <c r="C153" s="60"/>
      <c r="D153" s="108"/>
      <c r="E153" s="108"/>
      <c r="F153" s="108"/>
      <c r="G153" s="108"/>
      <c r="H153" s="108"/>
      <c r="I153" s="57"/>
      <c r="J153" s="57"/>
    </row>
    <row r="154" spans="1:10" ht="15.75" customHeight="1">
      <c r="A154" s="57" t="str">
        <f t="shared" ref="A154:A156" si="26">A124</f>
        <v>Pomegranate Arils</v>
      </c>
      <c r="B154" s="41" t="s">
        <v>696</v>
      </c>
      <c r="C154" s="41">
        <v>150</v>
      </c>
      <c r="D154" s="59" t="e">
        <f>(B141*(1-'5.Closing Stock &amp; W Capital'!#REF!)*$C154*D$149)</f>
        <v>#REF!</v>
      </c>
      <c r="E154" s="59" t="e">
        <f>(((C141*(1-'5.Closing Stock &amp; W Capital'!#REF!))+(B141*'5.Closing Stock &amp; W Capital'!#REF!))*$C154*E$149)</f>
        <v>#REF!</v>
      </c>
      <c r="F154" s="59" t="e">
        <f>(((D141*(1-'5.Closing Stock &amp; W Capital'!#REF!))+(C141*'5.Closing Stock &amp; W Capital'!#REF!))*$C154*F$149)</f>
        <v>#REF!</v>
      </c>
      <c r="G154" s="59" t="e">
        <f>(((E141*(1-'5.Closing Stock &amp; W Capital'!#REF!))+(D141*'5.Closing Stock &amp; W Capital'!#REF!))*$C154*G$149)</f>
        <v>#REF!</v>
      </c>
      <c r="H154" s="59" t="e">
        <f>(((F141*(1-'5.Closing Stock &amp; W Capital'!#REF!))+(E141*'5.Closing Stock &amp; W Capital'!#REF!))*$C154*H$149)</f>
        <v>#REF!</v>
      </c>
      <c r="I154" s="59" t="e">
        <f>(((G141*(1-'5.Closing Stock &amp; W Capital'!#REF!))+(F141*'5.Closing Stock &amp; W Capital'!#REF!))*$C154*I$149)</f>
        <v>#REF!</v>
      </c>
      <c r="J154" s="59" t="e">
        <f>(((H141*(1-'5.Closing Stock &amp; W Capital'!#REF!))+(G141*'5.Closing Stock &amp; W Capital'!#REF!))*$C154*J$149)</f>
        <v>#REF!</v>
      </c>
    </row>
    <row r="155" spans="1:10" ht="15.75" customHeight="1">
      <c r="A155" s="57" t="str">
        <f t="shared" si="26"/>
        <v>Pomegranate Juice</v>
      </c>
      <c r="B155" s="41" t="s">
        <v>697</v>
      </c>
      <c r="C155" s="41">
        <v>40</v>
      </c>
      <c r="D155" s="59" t="e">
        <f>(B142*(1-'5.Closing Stock &amp; W Capital'!#REF!)*$C155*D$149)</f>
        <v>#REF!</v>
      </c>
      <c r="E155" s="59" t="e">
        <f>(((C142*(1-'5.Closing Stock &amp; W Capital'!#REF!))+(B142*'5.Closing Stock &amp; W Capital'!#REF!))*$C155*E$149)</f>
        <v>#REF!</v>
      </c>
      <c r="F155" s="59" t="e">
        <f>(((D142*(1-'5.Closing Stock &amp; W Capital'!#REF!))+(C142*'5.Closing Stock &amp; W Capital'!#REF!))*$C155*F$149)</f>
        <v>#REF!</v>
      </c>
      <c r="G155" s="59" t="e">
        <f>(((E142*(1-'5.Closing Stock &amp; W Capital'!#REF!))+(D142*'5.Closing Stock &amp; W Capital'!#REF!))*$C155*G$149)</f>
        <v>#REF!</v>
      </c>
      <c r="H155" s="59" t="e">
        <f>(((F142*(1-'5.Closing Stock &amp; W Capital'!#REF!))+(E142*'5.Closing Stock &amp; W Capital'!#REF!))*$C155*H$149)</f>
        <v>#REF!</v>
      </c>
      <c r="I155" s="59" t="e">
        <f>(((G142*(1-'5.Closing Stock &amp; W Capital'!#REF!))+(F142*'5.Closing Stock &amp; W Capital'!#REF!))*$C155*I$149)</f>
        <v>#REF!</v>
      </c>
      <c r="J155" s="59" t="e">
        <f>(((H142*(1-'5.Closing Stock &amp; W Capital'!#REF!))+(G142*'5.Closing Stock &amp; W Capital'!#REF!))*$C155*J$149)</f>
        <v>#REF!</v>
      </c>
    </row>
    <row r="156" spans="1:10" ht="15.75" customHeight="1">
      <c r="A156" s="57" t="str">
        <f t="shared" si="26"/>
        <v>Pomegranate Powder</v>
      </c>
      <c r="B156" s="41" t="s">
        <v>610</v>
      </c>
      <c r="C156" s="41">
        <v>50</v>
      </c>
      <c r="D156" s="59" t="e">
        <f>(B143*(1-'5.Closing Stock &amp; W Capital'!#REF!)*$C156*D$149)</f>
        <v>#REF!</v>
      </c>
      <c r="E156" s="59" t="e">
        <f>(((C143*(1-'5.Closing Stock &amp; W Capital'!#REF!))+(B143*'5.Closing Stock &amp; W Capital'!#REF!))*$C156*E$149)</f>
        <v>#REF!</v>
      </c>
      <c r="F156" s="59" t="e">
        <f>(((D143*(1-'5.Closing Stock &amp; W Capital'!#REF!))+(C143*'5.Closing Stock &amp; W Capital'!#REF!))*$C156*F$149)</f>
        <v>#REF!</v>
      </c>
      <c r="G156" s="59" t="e">
        <f>(((E143*(1-'5.Closing Stock &amp; W Capital'!#REF!))+(D143*'5.Closing Stock &amp; W Capital'!#REF!))*$C156*G$149)</f>
        <v>#REF!</v>
      </c>
      <c r="H156" s="59" t="e">
        <f>(((F143*(1-'5.Closing Stock &amp; W Capital'!#REF!))+(E143*'5.Closing Stock &amp; W Capital'!#REF!))*$C156*H$149)</f>
        <v>#REF!</v>
      </c>
      <c r="I156" s="59" t="e">
        <f>(((G143*(1-'5.Closing Stock &amp; W Capital'!#REF!))+(F143*'5.Closing Stock &amp; W Capital'!#REF!))*$C156*I$149)</f>
        <v>#REF!</v>
      </c>
      <c r="J156" s="59" t="e">
        <f>(((H143*(1-'5.Closing Stock &amp; W Capital'!#REF!))+(G143*'5.Closing Stock &amp; W Capital'!#REF!))*$C156*J$149)</f>
        <v>#REF!</v>
      </c>
    </row>
    <row r="157" spans="1:10" ht="15.75" customHeight="1">
      <c r="A157" s="57"/>
      <c r="B157" s="41"/>
      <c r="C157" s="41"/>
      <c r="D157" s="59"/>
      <c r="E157" s="59"/>
      <c r="F157" s="59"/>
      <c r="G157" s="59"/>
      <c r="H157" s="59"/>
      <c r="I157" s="59"/>
      <c r="J157" s="59"/>
    </row>
    <row r="158" spans="1:10" ht="15.75" customHeight="1">
      <c r="A158" s="57"/>
      <c r="B158" s="57"/>
      <c r="C158" s="57"/>
      <c r="D158" s="59"/>
      <c r="E158" s="59"/>
      <c r="F158" s="59"/>
      <c r="G158" s="59"/>
      <c r="H158" s="59"/>
      <c r="I158" s="59"/>
      <c r="J158" s="59"/>
    </row>
    <row r="159" spans="1:10" ht="15.75" customHeight="1">
      <c r="A159" s="60" t="s">
        <v>347</v>
      </c>
      <c r="B159" s="60"/>
      <c r="C159" s="60"/>
      <c r="D159" s="61" t="e">
        <f t="shared" ref="D159:J159" si="27">SUM(D154:D157)</f>
        <v>#REF!</v>
      </c>
      <c r="E159" s="61" t="e">
        <f t="shared" si="27"/>
        <v>#REF!</v>
      </c>
      <c r="F159" s="61" t="e">
        <f t="shared" si="27"/>
        <v>#REF!</v>
      </c>
      <c r="G159" s="61" t="e">
        <f t="shared" si="27"/>
        <v>#REF!</v>
      </c>
      <c r="H159" s="61" t="e">
        <f t="shared" si="27"/>
        <v>#REF!</v>
      </c>
      <c r="I159" s="61" t="e">
        <f t="shared" si="27"/>
        <v>#REF!</v>
      </c>
      <c r="J159" s="61" t="e">
        <f t="shared" si="27"/>
        <v>#REF!</v>
      </c>
    </row>
    <row r="160" spans="1:10" ht="15.75" customHeight="1">
      <c r="A160" s="57"/>
      <c r="B160" s="57"/>
      <c r="C160" s="57"/>
      <c r="D160" s="59"/>
      <c r="E160" s="59"/>
      <c r="F160" s="59"/>
      <c r="G160" s="59"/>
      <c r="H160" s="59"/>
      <c r="I160" s="59"/>
      <c r="J160" s="59"/>
    </row>
    <row r="161" spans="1:10" ht="15.75" customHeight="1">
      <c r="A161" s="60" t="s">
        <v>581</v>
      </c>
      <c r="B161" s="60"/>
      <c r="C161" s="60"/>
      <c r="D161" s="59"/>
      <c r="E161" s="59"/>
      <c r="F161" s="59"/>
      <c r="G161" s="59"/>
      <c r="H161" s="59"/>
      <c r="I161" s="59"/>
      <c r="J161" s="59"/>
    </row>
    <row r="162" spans="1:10" ht="15.75" customHeight="1">
      <c r="A162" s="60" t="s">
        <v>352</v>
      </c>
      <c r="B162" s="60"/>
      <c r="C162" s="57"/>
      <c r="D162" s="59"/>
      <c r="E162" s="59"/>
      <c r="F162" s="59"/>
      <c r="G162" s="59"/>
      <c r="H162" s="59"/>
      <c r="I162" s="59"/>
      <c r="J162" s="59"/>
    </row>
    <row r="163" spans="1:10" ht="15.75" customHeight="1">
      <c r="A163" s="57" t="s">
        <v>698</v>
      </c>
      <c r="B163" s="41" t="s">
        <v>579</v>
      </c>
      <c r="C163" s="58">
        <v>6000</v>
      </c>
      <c r="D163" s="59">
        <f t="shared" ref="D163:J163" si="28">B62*$C163*D$149</f>
        <v>0</v>
      </c>
      <c r="E163" s="59">
        <f t="shared" si="28"/>
        <v>0</v>
      </c>
      <c r="F163" s="59">
        <f t="shared" si="28"/>
        <v>0</v>
      </c>
      <c r="G163" s="59">
        <f t="shared" si="28"/>
        <v>0</v>
      </c>
      <c r="H163" s="59">
        <f t="shared" si="28"/>
        <v>0</v>
      </c>
      <c r="I163" s="59">
        <f t="shared" si="28"/>
        <v>0</v>
      </c>
      <c r="J163" s="59">
        <f t="shared" si="28"/>
        <v>0</v>
      </c>
    </row>
    <row r="164" spans="1:10" ht="15.75" customHeight="1">
      <c r="A164" s="57" t="s">
        <v>699</v>
      </c>
      <c r="B164" s="41" t="s">
        <v>579</v>
      </c>
      <c r="C164" s="41">
        <v>2000</v>
      </c>
      <c r="D164" s="59">
        <f t="shared" ref="D164:J164" si="29">(B62*10%)*$C164*D$149</f>
        <v>0</v>
      </c>
      <c r="E164" s="59">
        <f t="shared" si="29"/>
        <v>0</v>
      </c>
      <c r="F164" s="59">
        <f t="shared" si="29"/>
        <v>0</v>
      </c>
      <c r="G164" s="59">
        <f t="shared" si="29"/>
        <v>0</v>
      </c>
      <c r="H164" s="59">
        <f t="shared" si="29"/>
        <v>0</v>
      </c>
      <c r="I164" s="59">
        <f t="shared" si="29"/>
        <v>0</v>
      </c>
      <c r="J164" s="59">
        <f t="shared" si="29"/>
        <v>0</v>
      </c>
    </row>
    <row r="165" spans="1:10" ht="15.75" customHeight="1">
      <c r="A165" s="57" t="s">
        <v>614</v>
      </c>
      <c r="B165" s="41">
        <v>5</v>
      </c>
      <c r="C165" s="41">
        <v>300</v>
      </c>
      <c r="D165" s="59">
        <f t="shared" ref="D165:J165" si="30">B12*$B$165*$C$165*D149</f>
        <v>0</v>
      </c>
      <c r="E165" s="59">
        <f t="shared" si="30"/>
        <v>0</v>
      </c>
      <c r="F165" s="59">
        <f t="shared" si="30"/>
        <v>0</v>
      </c>
      <c r="G165" s="59">
        <f t="shared" si="30"/>
        <v>0</v>
      </c>
      <c r="H165" s="59">
        <f t="shared" si="30"/>
        <v>0</v>
      </c>
      <c r="I165" s="59">
        <f t="shared" si="30"/>
        <v>0</v>
      </c>
      <c r="J165" s="59">
        <f t="shared" si="30"/>
        <v>0</v>
      </c>
    </row>
    <row r="166" spans="1:10" ht="15.75" customHeight="1">
      <c r="A166" s="57" t="s">
        <v>583</v>
      </c>
      <c r="B166" s="57" t="e">
        <f>'2.Capex Details'!#REF!*0.746*8</f>
        <v>#REF!</v>
      </c>
      <c r="C166" s="41">
        <v>8</v>
      </c>
      <c r="D166" s="59" t="e">
        <f t="shared" ref="D166:J166" si="31">$B$166*$C$166*B12*D149</f>
        <v>#REF!</v>
      </c>
      <c r="E166" s="59" t="e">
        <f t="shared" si="31"/>
        <v>#REF!</v>
      </c>
      <c r="F166" s="59" t="e">
        <f t="shared" si="31"/>
        <v>#REF!</v>
      </c>
      <c r="G166" s="59" t="e">
        <f t="shared" si="31"/>
        <v>#REF!</v>
      </c>
      <c r="H166" s="59" t="e">
        <f t="shared" si="31"/>
        <v>#REF!</v>
      </c>
      <c r="I166" s="59" t="e">
        <f t="shared" si="31"/>
        <v>#REF!</v>
      </c>
      <c r="J166" s="59" t="e">
        <f t="shared" si="31"/>
        <v>#REF!</v>
      </c>
    </row>
    <row r="167" spans="1:10" ht="15.75" customHeight="1">
      <c r="A167" s="57" t="s">
        <v>615</v>
      </c>
      <c r="B167" s="57" t="s">
        <v>579</v>
      </c>
      <c r="C167" s="41">
        <v>10</v>
      </c>
      <c r="D167" s="59">
        <f t="shared" ref="D167:J167" si="32">B62*$C167*D$149</f>
        <v>0</v>
      </c>
      <c r="E167" s="59">
        <f t="shared" si="32"/>
        <v>0</v>
      </c>
      <c r="F167" s="59">
        <f t="shared" si="32"/>
        <v>0</v>
      </c>
      <c r="G167" s="59">
        <f t="shared" si="32"/>
        <v>0</v>
      </c>
      <c r="H167" s="59">
        <f t="shared" si="32"/>
        <v>0</v>
      </c>
      <c r="I167" s="59">
        <f t="shared" si="32"/>
        <v>0</v>
      </c>
      <c r="J167" s="59">
        <f t="shared" si="32"/>
        <v>0</v>
      </c>
    </row>
    <row r="168" spans="1:10" ht="15.75" customHeight="1">
      <c r="A168" s="138" t="s">
        <v>616</v>
      </c>
      <c r="B168" s="138"/>
      <c r="C168" s="179">
        <v>2</v>
      </c>
      <c r="D168" s="59">
        <f t="shared" ref="D168:J168" si="33">SUM(B141:B143)*$C$168*D$149</f>
        <v>0</v>
      </c>
      <c r="E168" s="59">
        <f t="shared" si="33"/>
        <v>0</v>
      </c>
      <c r="F168" s="59">
        <f t="shared" si="33"/>
        <v>0</v>
      </c>
      <c r="G168" s="59">
        <f t="shared" si="33"/>
        <v>0</v>
      </c>
      <c r="H168" s="59">
        <f t="shared" si="33"/>
        <v>0</v>
      </c>
      <c r="I168" s="59">
        <f t="shared" si="33"/>
        <v>0</v>
      </c>
      <c r="J168" s="59">
        <f t="shared" si="33"/>
        <v>0</v>
      </c>
    </row>
    <row r="169" spans="1:10" ht="15.75" customHeight="1">
      <c r="A169" s="57" t="s">
        <v>617</v>
      </c>
      <c r="B169" s="57"/>
      <c r="C169" s="41">
        <v>1</v>
      </c>
      <c r="D169" s="59">
        <f t="shared" ref="D169:J169" si="34">SUM(B141:B143)*$C$169*D$149</f>
        <v>0</v>
      </c>
      <c r="E169" s="59">
        <f t="shared" si="34"/>
        <v>0</v>
      </c>
      <c r="F169" s="59">
        <f t="shared" si="34"/>
        <v>0</v>
      </c>
      <c r="G169" s="59">
        <f t="shared" si="34"/>
        <v>0</v>
      </c>
      <c r="H169" s="59">
        <f t="shared" si="34"/>
        <v>0</v>
      </c>
      <c r="I169" s="59">
        <f t="shared" si="34"/>
        <v>0</v>
      </c>
      <c r="J169" s="59">
        <f t="shared" si="34"/>
        <v>0</v>
      </c>
    </row>
    <row r="170" spans="1:10" ht="15.75" customHeight="1">
      <c r="A170" s="115"/>
      <c r="B170" s="115"/>
      <c r="C170" s="115"/>
      <c r="D170" s="115"/>
      <c r="E170" s="115"/>
      <c r="F170" s="115"/>
      <c r="G170" s="115"/>
      <c r="H170" s="115"/>
      <c r="I170" s="115"/>
      <c r="J170" s="115"/>
    </row>
    <row r="171" spans="1:10" ht="15.75" customHeight="1">
      <c r="A171" s="115"/>
      <c r="B171" s="115"/>
      <c r="C171" s="115"/>
      <c r="D171" s="115"/>
      <c r="E171" s="115"/>
      <c r="F171" s="115"/>
      <c r="G171" s="115"/>
      <c r="H171" s="115"/>
      <c r="I171" s="115"/>
      <c r="J171" s="115"/>
    </row>
    <row r="172" spans="1:10" ht="15.75" customHeight="1">
      <c r="A172" s="115"/>
      <c r="B172" s="115"/>
      <c r="C172" s="115"/>
      <c r="D172" s="115"/>
      <c r="E172" s="115"/>
      <c r="F172" s="115"/>
      <c r="G172" s="115"/>
      <c r="H172" s="115"/>
      <c r="I172" s="115"/>
      <c r="J172" s="115"/>
    </row>
    <row r="173" spans="1:10" ht="15.75" customHeight="1">
      <c r="A173" s="115"/>
      <c r="B173" s="115"/>
      <c r="C173" s="115"/>
      <c r="D173" s="115"/>
      <c r="E173" s="115"/>
      <c r="F173" s="115"/>
      <c r="G173" s="115"/>
      <c r="H173" s="115"/>
      <c r="I173" s="115"/>
      <c r="J173" s="115"/>
    </row>
    <row r="174" spans="1:10" ht="15.75" customHeight="1">
      <c r="A174" s="59" t="s">
        <v>586</v>
      </c>
      <c r="B174" s="59"/>
      <c r="C174" s="59"/>
      <c r="D174" s="59"/>
      <c r="E174" s="59" t="e">
        <f>'5.Closing Stock &amp; W Capital'!#REF!</f>
        <v>#REF!</v>
      </c>
      <c r="F174" s="59" t="e">
        <f>'5.Closing Stock &amp; W Capital'!#REF!</f>
        <v>#REF!</v>
      </c>
      <c r="G174" s="59" t="e">
        <f>'5.Closing Stock &amp; W Capital'!#REF!</f>
        <v>#REF!</v>
      </c>
      <c r="H174" s="59" t="e">
        <f>'5.Closing Stock &amp; W Capital'!#REF!</f>
        <v>#REF!</v>
      </c>
      <c r="I174" s="59" t="e">
        <f>'5.Closing Stock &amp; W Capital'!#REF!</f>
        <v>#REF!</v>
      </c>
      <c r="J174" s="59" t="e">
        <f>'5.Closing Stock &amp; W Capital'!#REF!</f>
        <v>#REF!</v>
      </c>
    </row>
    <row r="175" spans="1:10" ht="15.75" customHeight="1">
      <c r="A175" s="59" t="s">
        <v>587</v>
      </c>
      <c r="B175" s="59"/>
      <c r="C175" s="59"/>
      <c r="D175" s="59" t="e">
        <f>'5.Closing Stock &amp; W Capital'!#REF!</f>
        <v>#REF!</v>
      </c>
      <c r="E175" s="59" t="e">
        <f>'5.Closing Stock &amp; W Capital'!#REF!</f>
        <v>#REF!</v>
      </c>
      <c r="F175" s="59" t="e">
        <f>'5.Closing Stock &amp; W Capital'!#REF!</f>
        <v>#REF!</v>
      </c>
      <c r="G175" s="59" t="e">
        <f>'5.Closing Stock &amp; W Capital'!#REF!</f>
        <v>#REF!</v>
      </c>
      <c r="H175" s="59" t="e">
        <f>'5.Closing Stock &amp; W Capital'!#REF!</f>
        <v>#REF!</v>
      </c>
      <c r="I175" s="59" t="e">
        <f>'5.Closing Stock &amp; W Capital'!#REF!</f>
        <v>#REF!</v>
      </c>
      <c r="J175" s="59" t="e">
        <f>'5.Closing Stock &amp; W Capital'!#REF!</f>
        <v>#REF!</v>
      </c>
    </row>
    <row r="176" spans="1:10" ht="15.75" customHeight="1">
      <c r="A176" s="59"/>
      <c r="B176" s="59"/>
      <c r="C176" s="59"/>
      <c r="D176" s="59"/>
      <c r="E176" s="59"/>
      <c r="F176" s="59"/>
      <c r="G176" s="59"/>
      <c r="H176" s="59"/>
      <c r="I176" s="59"/>
      <c r="J176" s="59"/>
    </row>
    <row r="177" spans="1:10" ht="15.75" customHeight="1">
      <c r="A177" s="61" t="s">
        <v>353</v>
      </c>
      <c r="B177" s="59"/>
      <c r="C177" s="59"/>
      <c r="D177" s="61" t="e">
        <f t="shared" ref="D177:J177" si="35">SUM(D163:D174)-D175</f>
        <v>#REF!</v>
      </c>
      <c r="E177" s="61" t="e">
        <f t="shared" si="35"/>
        <v>#REF!</v>
      </c>
      <c r="F177" s="61" t="e">
        <f t="shared" si="35"/>
        <v>#REF!</v>
      </c>
      <c r="G177" s="61" t="e">
        <f t="shared" si="35"/>
        <v>#REF!</v>
      </c>
      <c r="H177" s="61" t="e">
        <f t="shared" si="35"/>
        <v>#REF!</v>
      </c>
      <c r="I177" s="61" t="e">
        <f t="shared" si="35"/>
        <v>#REF!</v>
      </c>
      <c r="J177" s="61" t="e">
        <f t="shared" si="35"/>
        <v>#REF!</v>
      </c>
    </row>
    <row r="178" spans="1:10" ht="15.75" customHeight="1">
      <c r="A178" s="52"/>
      <c r="B178" s="52"/>
      <c r="C178" s="52"/>
      <c r="D178" s="52"/>
      <c r="E178" s="52"/>
      <c r="F178" s="52"/>
      <c r="G178" s="52"/>
      <c r="H178" s="52"/>
      <c r="I178" s="52"/>
      <c r="J178" s="52"/>
    </row>
    <row r="179" spans="1:10" ht="15.75" customHeight="1">
      <c r="A179" s="136" t="s">
        <v>354</v>
      </c>
      <c r="B179" s="136"/>
      <c r="C179" s="136"/>
      <c r="D179" s="61"/>
      <c r="E179" s="61"/>
      <c r="F179" s="61"/>
      <c r="G179" s="61"/>
      <c r="H179" s="61"/>
      <c r="I179" s="61"/>
      <c r="J179" s="61"/>
    </row>
    <row r="180" spans="1:10" ht="15.75" customHeight="1">
      <c r="A180" s="57" t="s">
        <v>588</v>
      </c>
      <c r="B180" s="41">
        <v>1</v>
      </c>
      <c r="C180" s="58"/>
      <c r="D180" s="59">
        <f t="shared" ref="D180:J180" si="36">$B$180*$C$180*12*D149</f>
        <v>0</v>
      </c>
      <c r="E180" s="59">
        <f t="shared" si="36"/>
        <v>0</v>
      </c>
      <c r="F180" s="59">
        <f t="shared" si="36"/>
        <v>0</v>
      </c>
      <c r="G180" s="59">
        <f t="shared" si="36"/>
        <v>0</v>
      </c>
      <c r="H180" s="59">
        <f t="shared" si="36"/>
        <v>0</v>
      </c>
      <c r="I180" s="59">
        <f t="shared" si="36"/>
        <v>0</v>
      </c>
      <c r="J180" s="59">
        <f t="shared" si="36"/>
        <v>0</v>
      </c>
    </row>
    <row r="181" spans="1:10" ht="15.75" customHeight="1">
      <c r="A181" s="57" t="s">
        <v>683</v>
      </c>
      <c r="B181" s="41">
        <v>2</v>
      </c>
      <c r="C181" s="58"/>
      <c r="D181" s="59">
        <f t="shared" ref="D181:J181" si="37">$B$181*$C$181*12*D149</f>
        <v>0</v>
      </c>
      <c r="E181" s="59">
        <f t="shared" si="37"/>
        <v>0</v>
      </c>
      <c r="F181" s="59">
        <f t="shared" si="37"/>
        <v>0</v>
      </c>
      <c r="G181" s="59">
        <f t="shared" si="37"/>
        <v>0</v>
      </c>
      <c r="H181" s="59">
        <f t="shared" si="37"/>
        <v>0</v>
      </c>
      <c r="I181" s="59">
        <f t="shared" si="37"/>
        <v>0</v>
      </c>
      <c r="J181" s="59">
        <f t="shared" si="37"/>
        <v>0</v>
      </c>
    </row>
    <row r="182" spans="1:10" ht="15.75" customHeight="1">
      <c r="A182" s="57"/>
      <c r="B182" s="41"/>
      <c r="C182" s="58"/>
      <c r="D182" s="59"/>
      <c r="E182" s="59"/>
      <c r="F182" s="59"/>
      <c r="G182" s="59"/>
      <c r="H182" s="59"/>
      <c r="I182" s="59"/>
      <c r="J182" s="59"/>
    </row>
    <row r="183" spans="1:10" ht="15.75" customHeight="1">
      <c r="A183" s="57"/>
      <c r="B183" s="41"/>
      <c r="C183" s="58"/>
      <c r="D183" s="59"/>
      <c r="E183" s="59"/>
      <c r="F183" s="59"/>
      <c r="G183" s="59"/>
      <c r="H183" s="59"/>
      <c r="I183" s="59"/>
      <c r="J183" s="59"/>
    </row>
    <row r="184" spans="1:10" ht="15.75" customHeight="1">
      <c r="A184" s="57"/>
      <c r="B184" s="41"/>
      <c r="C184" s="58"/>
      <c r="D184" s="59"/>
      <c r="E184" s="59"/>
      <c r="F184" s="59"/>
      <c r="G184" s="59"/>
      <c r="H184" s="59"/>
      <c r="I184" s="59"/>
      <c r="J184" s="59"/>
    </row>
    <row r="185" spans="1:10" ht="15.75" customHeight="1">
      <c r="A185" s="60" t="s">
        <v>354</v>
      </c>
      <c r="B185" s="60"/>
      <c r="C185" s="60"/>
      <c r="D185" s="61">
        <f t="shared" ref="D185:J185" si="38">SUM(D180:D184)</f>
        <v>0</v>
      </c>
      <c r="E185" s="61">
        <f t="shared" si="38"/>
        <v>0</v>
      </c>
      <c r="F185" s="61">
        <f t="shared" si="38"/>
        <v>0</v>
      </c>
      <c r="G185" s="61">
        <f t="shared" si="38"/>
        <v>0</v>
      </c>
      <c r="H185" s="61">
        <f t="shared" si="38"/>
        <v>0</v>
      </c>
      <c r="I185" s="61">
        <f t="shared" si="38"/>
        <v>0</v>
      </c>
      <c r="J185" s="61">
        <f t="shared" si="38"/>
        <v>0</v>
      </c>
    </row>
    <row r="186" spans="1:10" ht="15.75" customHeight="1">
      <c r="A186" s="136" t="s">
        <v>618</v>
      </c>
      <c r="B186" s="136"/>
      <c r="C186" s="136"/>
      <c r="D186" s="61" t="e">
        <f t="shared" ref="D186:J186" si="39">D177+D185</f>
        <v>#REF!</v>
      </c>
      <c r="E186" s="61" t="e">
        <f t="shared" si="39"/>
        <v>#REF!</v>
      </c>
      <c r="F186" s="61" t="e">
        <f t="shared" si="39"/>
        <v>#REF!</v>
      </c>
      <c r="G186" s="61" t="e">
        <f t="shared" si="39"/>
        <v>#REF!</v>
      </c>
      <c r="H186" s="61" t="e">
        <f t="shared" si="39"/>
        <v>#REF!</v>
      </c>
      <c r="I186" s="61" t="e">
        <f t="shared" si="39"/>
        <v>#REF!</v>
      </c>
      <c r="J186" s="61" t="e">
        <f t="shared" si="39"/>
        <v>#REF!</v>
      </c>
    </row>
    <row r="187" spans="1:10" ht="15.75" customHeight="1">
      <c r="A187" s="57"/>
      <c r="B187" s="57"/>
      <c r="C187" s="57"/>
      <c r="D187" s="59"/>
      <c r="E187" s="59"/>
      <c r="F187" s="59"/>
      <c r="G187" s="59"/>
      <c r="H187" s="59"/>
      <c r="I187" s="59"/>
      <c r="J187" s="59"/>
    </row>
    <row r="188" spans="1:10" ht="15.75" customHeight="1">
      <c r="A188" s="60" t="s">
        <v>400</v>
      </c>
      <c r="B188" s="60"/>
      <c r="C188" s="60"/>
      <c r="D188" s="61" t="e">
        <f t="shared" ref="D188:J188" si="40">D159-D186</f>
        <v>#REF!</v>
      </c>
      <c r="E188" s="61" t="e">
        <f t="shared" si="40"/>
        <v>#REF!</v>
      </c>
      <c r="F188" s="61" t="e">
        <f t="shared" si="40"/>
        <v>#REF!</v>
      </c>
      <c r="G188" s="61" t="e">
        <f t="shared" si="40"/>
        <v>#REF!</v>
      </c>
      <c r="H188" s="61" t="e">
        <f t="shared" si="40"/>
        <v>#REF!</v>
      </c>
      <c r="I188" s="61" t="e">
        <f t="shared" si="40"/>
        <v>#REF!</v>
      </c>
      <c r="J188" s="61" t="e">
        <f t="shared" si="40"/>
        <v>#REF!</v>
      </c>
    </row>
    <row r="189" spans="1:10" ht="15.75" customHeight="1">
      <c r="A189" s="75"/>
      <c r="B189" s="75"/>
      <c r="C189" s="75"/>
      <c r="D189" s="52"/>
      <c r="E189" s="52"/>
      <c r="F189" s="52"/>
      <c r="G189" s="52"/>
      <c r="H189" s="52"/>
      <c r="I189" s="52"/>
      <c r="J189" s="52"/>
    </row>
    <row r="190" spans="1:10" ht="15.75" customHeight="1">
      <c r="A190" s="52"/>
      <c r="B190" s="52"/>
      <c r="C190" s="52"/>
      <c r="D190" s="52"/>
      <c r="E190" s="52"/>
      <c r="F190" s="52"/>
      <c r="G190" s="52"/>
      <c r="H190" s="52"/>
      <c r="I190" s="52"/>
      <c r="J190" s="52"/>
    </row>
    <row r="191" spans="1:10" ht="15.75" customHeight="1">
      <c r="A191" s="52"/>
      <c r="B191" s="52"/>
      <c r="C191" s="52"/>
      <c r="D191" s="52"/>
      <c r="E191" s="52"/>
      <c r="F191" s="52"/>
      <c r="G191" s="52"/>
      <c r="H191" s="52"/>
      <c r="I191" s="52"/>
      <c r="J191" s="52"/>
    </row>
    <row r="192" spans="1:10" ht="15.75" customHeight="1">
      <c r="A192" s="269" t="s">
        <v>619</v>
      </c>
      <c r="B192" s="251"/>
      <c r="C192" s="251"/>
      <c r="D192" s="251"/>
      <c r="E192" s="251"/>
      <c r="F192" s="251"/>
      <c r="G192" s="251"/>
      <c r="H192" s="251"/>
      <c r="I192" s="251"/>
      <c r="J192" s="251"/>
    </row>
    <row r="193" spans="1:5" ht="15.75" customHeight="1"/>
    <row r="194" spans="1:5" ht="15.75" customHeight="1">
      <c r="A194" t="s">
        <v>314</v>
      </c>
    </row>
    <row r="195" spans="1:5" ht="15.75" customHeight="1">
      <c r="A195">
        <v>1</v>
      </c>
      <c r="B195" t="s">
        <v>593</v>
      </c>
    </row>
    <row r="196" spans="1:5" ht="15.75" customHeight="1">
      <c r="A196">
        <v>2</v>
      </c>
      <c r="B196" t="s">
        <v>594</v>
      </c>
      <c r="C196" s="132"/>
      <c r="D196" s="132"/>
      <c r="E196" s="132"/>
    </row>
    <row r="197" spans="1:5" ht="15.75" customHeight="1">
      <c r="A197">
        <v>3</v>
      </c>
      <c r="B197" s="52" t="s">
        <v>595</v>
      </c>
    </row>
  </sheetData>
  <mergeCells count="4">
    <mergeCell ref="A3:H3"/>
    <mergeCell ref="A147:J147"/>
    <mergeCell ref="A192:J192"/>
    <mergeCell ref="A4:H4"/>
  </mergeCells>
  <pageMargins left="0.7" right="0.7" top="0.75" bottom="0.75" header="0" footer="0"/>
  <pageSetup paperSize="9" orientation="portrait"/>
  <colBreaks count="1" manualBreakCount="1">
    <brk id="1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100"/>
  <sheetViews>
    <sheetView view="pageBreakPreview" topLeftCell="A25" zoomScale="111" zoomScaleSheetLayoutView="85" workbookViewId="0">
      <selection activeCell="D29" sqref="D29"/>
    </sheetView>
  </sheetViews>
  <sheetFormatPr defaultColWidth="14.42578125" defaultRowHeight="15" customHeight="1"/>
  <cols>
    <col min="1" max="1" width="8.7109375" customWidth="1"/>
    <col min="2" max="2" width="7.5703125" customWidth="1"/>
    <col min="3" max="3" width="26.28515625" customWidth="1"/>
    <col min="4" max="4" width="15" customWidth="1"/>
    <col min="5" max="5" width="16" customWidth="1"/>
    <col min="6" max="6" width="17.85546875" customWidth="1"/>
    <col min="7" max="8" width="12.140625" bestFit="1" customWidth="1"/>
    <col min="9" max="9" width="9.28515625" bestFit="1" customWidth="1"/>
    <col min="10" max="13" width="8.7109375" customWidth="1"/>
  </cols>
  <sheetData>
    <row r="2" spans="1:16" ht="18.75">
      <c r="B2" s="267" t="s">
        <v>80</v>
      </c>
      <c r="C2" s="251"/>
      <c r="D2" s="251"/>
      <c r="E2" s="251"/>
      <c r="F2" s="251"/>
    </row>
    <row r="4" spans="1:16">
      <c r="B4" s="11" t="s">
        <v>81</v>
      </c>
      <c r="C4" s="11" t="s">
        <v>82</v>
      </c>
      <c r="D4" s="11" t="s">
        <v>83</v>
      </c>
      <c r="E4" s="12" t="s">
        <v>84</v>
      </c>
      <c r="F4" s="12" t="s">
        <v>85</v>
      </c>
    </row>
    <row r="5" spans="1:16">
      <c r="B5" s="13">
        <v>1</v>
      </c>
      <c r="C5" s="14" t="str">
        <f>'2.Capex Details'!B2</f>
        <v>Land and Building</v>
      </c>
      <c r="D5" s="15">
        <f>'2.Capex Details'!G10</f>
        <v>13530240</v>
      </c>
      <c r="E5" s="210">
        <v>0.6</v>
      </c>
      <c r="F5" s="16">
        <f t="shared" ref="F5:F10" si="0">D5*E5</f>
        <v>8118144</v>
      </c>
    </row>
    <row r="6" spans="1:16">
      <c r="B6" s="13">
        <v>2</v>
      </c>
      <c r="C6" s="14" t="str">
        <f>'2.Capex Details'!B15</f>
        <v>Machinery and Equipment</v>
      </c>
      <c r="D6" s="15">
        <f>'2.Capex Details'!G33</f>
        <v>18719960</v>
      </c>
      <c r="E6" s="210">
        <v>0.6</v>
      </c>
      <c r="F6" s="16">
        <f t="shared" si="0"/>
        <v>11231976</v>
      </c>
    </row>
    <row r="7" spans="1:16">
      <c r="B7" s="13">
        <v>3</v>
      </c>
      <c r="C7" s="14" t="str">
        <f>'2.Capex Details'!B39</f>
        <v>Furniture and Fixture</v>
      </c>
      <c r="D7" s="15">
        <f>'2.Capex Details'!F45</f>
        <v>1200000</v>
      </c>
      <c r="E7" s="210">
        <v>0.6</v>
      </c>
      <c r="F7" s="16">
        <f t="shared" si="0"/>
        <v>720000</v>
      </c>
    </row>
    <row r="8" spans="1:16">
      <c r="B8" s="13">
        <v>4</v>
      </c>
      <c r="C8" s="14" t="str">
        <f>'2.Capex Details'!B50</f>
        <v>IT &amp; It Infrastracture</v>
      </c>
      <c r="D8" s="15">
        <f>'2.Capex Details'!F56</f>
        <v>107026</v>
      </c>
      <c r="E8" s="210">
        <v>0.6</v>
      </c>
      <c r="F8" s="16">
        <f t="shared" si="0"/>
        <v>64215.6</v>
      </c>
      <c r="G8" s="132"/>
    </row>
    <row r="9" spans="1:16" ht="25.5">
      <c r="B9" s="13">
        <v>5</v>
      </c>
      <c r="C9" s="14" t="str">
        <f>'2.Capex Details'!B60</f>
        <v>Transport vehical  (Refer van and other)</v>
      </c>
      <c r="D9" s="15">
        <f>'2.Capex Details'!F66</f>
        <v>0</v>
      </c>
      <c r="E9" s="210">
        <v>0.6</v>
      </c>
      <c r="F9" s="16">
        <f t="shared" si="0"/>
        <v>0</v>
      </c>
    </row>
    <row r="10" spans="1:16">
      <c r="B10" s="13">
        <v>6</v>
      </c>
      <c r="C10" s="14" t="str">
        <f>'2.Capex Details'!B70</f>
        <v>Preliminary Expenses</v>
      </c>
      <c r="D10" s="15">
        <f>'2.Capex Details'!D78</f>
        <v>500000</v>
      </c>
      <c r="E10" s="210">
        <v>0.6</v>
      </c>
      <c r="F10" s="16">
        <f t="shared" si="0"/>
        <v>300000</v>
      </c>
      <c r="L10" t="s">
        <v>86</v>
      </c>
      <c r="O10">
        <v>30</v>
      </c>
      <c r="P10" t="s">
        <v>706</v>
      </c>
    </row>
    <row r="11" spans="1:16">
      <c r="B11" s="13">
        <v>7</v>
      </c>
      <c r="C11" s="14" t="s">
        <v>87</v>
      </c>
      <c r="D11" s="15">
        <f>'5.Closing Stock &amp; W Capital'!E52</f>
        <v>1577522.2344242863</v>
      </c>
      <c r="E11" s="17"/>
      <c r="F11" s="17"/>
      <c r="H11" s="132"/>
      <c r="O11">
        <v>15</v>
      </c>
      <c r="P11" t="s">
        <v>705</v>
      </c>
    </row>
    <row r="12" spans="1:16">
      <c r="B12" s="268" t="s">
        <v>88</v>
      </c>
      <c r="C12" s="256"/>
      <c r="D12" s="18">
        <f>SUM(D5:D11)</f>
        <v>35634748.234424286</v>
      </c>
      <c r="E12" s="17"/>
      <c r="F12" s="18">
        <f>SUM(F5:F11)</f>
        <v>20434335.600000001</v>
      </c>
      <c r="G12" s="132"/>
      <c r="H12" s="132"/>
      <c r="O12">
        <v>112</v>
      </c>
      <c r="P12" t="s">
        <v>700</v>
      </c>
    </row>
    <row r="13" spans="1:16">
      <c r="D13" s="19"/>
      <c r="M13">
        <v>48</v>
      </c>
      <c r="O13">
        <v>105</v>
      </c>
      <c r="P13" t="s">
        <v>701</v>
      </c>
    </row>
    <row r="14" spans="1:16" ht="41.25" customHeight="1">
      <c r="A14" s="270" t="s">
        <v>89</v>
      </c>
      <c r="B14" s="251"/>
      <c r="C14" s="251"/>
      <c r="D14" s="251"/>
      <c r="E14" s="251"/>
      <c r="F14" s="251"/>
      <c r="M14">
        <v>11.64</v>
      </c>
      <c r="O14">
        <v>12.5</v>
      </c>
      <c r="P14" t="s">
        <v>702</v>
      </c>
    </row>
    <row r="15" spans="1:16">
      <c r="M15">
        <f>M13+M14</f>
        <v>59.64</v>
      </c>
      <c r="O15">
        <v>30</v>
      </c>
      <c r="P15" t="s">
        <v>703</v>
      </c>
    </row>
    <row r="16" spans="1:16" ht="18.75">
      <c r="B16" s="267" t="s">
        <v>90</v>
      </c>
      <c r="C16" s="251"/>
      <c r="D16" s="251"/>
      <c r="E16" s="251"/>
      <c r="F16" s="251"/>
      <c r="M16">
        <v>19.05</v>
      </c>
      <c r="O16">
        <v>25</v>
      </c>
      <c r="P16" t="s">
        <v>704</v>
      </c>
    </row>
    <row r="17" spans="2:16">
      <c r="M17">
        <f>M15+M16</f>
        <v>78.69</v>
      </c>
      <c r="O17">
        <v>10</v>
      </c>
      <c r="P17" t="s">
        <v>146</v>
      </c>
    </row>
    <row r="18" spans="2:16">
      <c r="B18" s="20" t="s">
        <v>81</v>
      </c>
      <c r="C18" s="11" t="s">
        <v>82</v>
      </c>
      <c r="D18" s="11" t="s">
        <v>91</v>
      </c>
      <c r="E18" s="11" t="s">
        <v>83</v>
      </c>
      <c r="O18">
        <f>SUM(O10:O17)</f>
        <v>339.5</v>
      </c>
      <c r="P18" t="s">
        <v>88</v>
      </c>
    </row>
    <row r="19" spans="2:16" ht="25.5">
      <c r="B19" s="13">
        <v>1</v>
      </c>
      <c r="C19" s="14" t="s">
        <v>92</v>
      </c>
      <c r="D19" s="21"/>
      <c r="E19" s="22">
        <v>20000000</v>
      </c>
      <c r="H19" s="130">
        <f>+E19/E22*100</f>
        <v>56.124993134312007</v>
      </c>
    </row>
    <row r="20" spans="2:16">
      <c r="B20" s="13">
        <v>2</v>
      </c>
      <c r="C20" s="14" t="s">
        <v>93</v>
      </c>
      <c r="D20" s="21">
        <v>0.2</v>
      </c>
      <c r="E20" s="22">
        <f>SUM(D5:D11)*D20+373050</f>
        <v>7499999.6468848577</v>
      </c>
      <c r="F20" s="191"/>
      <c r="H20" s="130">
        <f>+E20/E22*100</f>
        <v>21.046871434437755</v>
      </c>
      <c r="I20" s="19">
        <f>7500000-E20</f>
        <v>0.35311514232307673</v>
      </c>
    </row>
    <row r="21" spans="2:16" ht="15.75" customHeight="1">
      <c r="B21" s="13">
        <v>3</v>
      </c>
      <c r="C21" s="14" t="s">
        <v>94</v>
      </c>
      <c r="D21" s="22"/>
      <c r="E21" s="22">
        <f>D12-E19-E20</f>
        <v>8134748.5875394279</v>
      </c>
      <c r="F21" s="19"/>
      <c r="H21" s="130">
        <f>+E21/E22*100</f>
        <v>22.828135431250235</v>
      </c>
    </row>
    <row r="22" spans="2:16" ht="15.75" customHeight="1">
      <c r="B22" s="268" t="s">
        <v>88</v>
      </c>
      <c r="C22" s="256"/>
      <c r="D22" s="23"/>
      <c r="E22" s="23">
        <f>SUM(E19:E21)</f>
        <v>35634748.234424286</v>
      </c>
    </row>
    <row r="23" spans="2:16" ht="15.75" customHeight="1"/>
    <row r="24" spans="2:16" ht="15.75" customHeight="1">
      <c r="B24" s="269" t="s">
        <v>95</v>
      </c>
      <c r="C24" s="251"/>
      <c r="D24" s="251"/>
      <c r="E24" s="251"/>
      <c r="F24" s="251"/>
    </row>
    <row r="25" spans="2:16" ht="15.75" customHeight="1"/>
    <row r="26" spans="2:16" ht="15.75" customHeight="1">
      <c r="B26" s="267" t="s">
        <v>96</v>
      </c>
      <c r="C26" s="251"/>
      <c r="D26" s="251"/>
      <c r="E26" s="251"/>
      <c r="F26" s="251"/>
    </row>
    <row r="27" spans="2:16" ht="15.75" customHeight="1">
      <c r="B27" s="25" t="s">
        <v>81</v>
      </c>
      <c r="C27" s="26" t="s">
        <v>97</v>
      </c>
      <c r="D27" s="27" t="s">
        <v>98</v>
      </c>
      <c r="E27" s="28" t="s">
        <v>99</v>
      </c>
      <c r="F27" s="265" t="s">
        <v>100</v>
      </c>
      <c r="G27" s="266"/>
    </row>
    <row r="28" spans="2:16" ht="26.45" customHeight="1">
      <c r="B28" s="29">
        <v>1</v>
      </c>
      <c r="C28" s="14" t="s">
        <v>101</v>
      </c>
      <c r="D28" s="30">
        <f>'9. Financial indiacators'!C46</f>
        <v>0.54929402974187336</v>
      </c>
      <c r="E28" s="29" t="s">
        <v>102</v>
      </c>
      <c r="F28" s="31" t="s">
        <v>103</v>
      </c>
      <c r="G28" s="29" t="s">
        <v>104</v>
      </c>
    </row>
    <row r="29" spans="2:16" ht="24.6" customHeight="1">
      <c r="B29" s="29">
        <v>2</v>
      </c>
      <c r="C29" s="14" t="s">
        <v>105</v>
      </c>
      <c r="D29" s="30">
        <f>'9. Financial indiacators'!C83</f>
        <v>0.10241193749354702</v>
      </c>
      <c r="E29" s="29" t="s">
        <v>102</v>
      </c>
      <c r="F29" s="31" t="s">
        <v>106</v>
      </c>
      <c r="G29" s="29" t="s">
        <v>107</v>
      </c>
    </row>
    <row r="30" spans="2:16" ht="35.25" customHeight="1">
      <c r="B30" s="29">
        <v>3</v>
      </c>
      <c r="C30" s="14" t="s">
        <v>108</v>
      </c>
      <c r="D30" s="30">
        <f>'9. Financial indiacators'!C16</f>
        <v>0.10263844921225695</v>
      </c>
      <c r="E30" s="29" t="s">
        <v>102</v>
      </c>
      <c r="F30" s="31" t="s">
        <v>109</v>
      </c>
      <c r="G30" s="29" t="s">
        <v>110</v>
      </c>
    </row>
    <row r="31" spans="2:16" ht="36" customHeight="1">
      <c r="B31" s="29">
        <v>4</v>
      </c>
      <c r="C31" s="14" t="s">
        <v>111</v>
      </c>
      <c r="D31" s="32">
        <f>'9. Financial indiacators'!C70</f>
        <v>157024.43359315395</v>
      </c>
      <c r="E31" s="29" t="s">
        <v>112</v>
      </c>
      <c r="F31" s="31" t="s">
        <v>113</v>
      </c>
      <c r="G31" s="29" t="s">
        <v>114</v>
      </c>
    </row>
    <row r="32" spans="2:16" ht="24" customHeight="1">
      <c r="B32" s="29">
        <v>5</v>
      </c>
      <c r="C32" s="14" t="s">
        <v>115</v>
      </c>
      <c r="D32" s="33">
        <f>'9. Financial indiacators'!D98</f>
        <v>5.1747056262133029</v>
      </c>
      <c r="E32" s="29" t="s">
        <v>102</v>
      </c>
      <c r="F32" s="31" t="s">
        <v>116</v>
      </c>
      <c r="G32" s="29" t="s">
        <v>117</v>
      </c>
    </row>
    <row r="33" spans="2:7" ht="35.450000000000003" customHeight="1">
      <c r="B33" s="29">
        <v>6</v>
      </c>
      <c r="C33" s="34" t="s">
        <v>118</v>
      </c>
      <c r="D33" s="33">
        <f>'9. Financial indiacators'!C116</f>
        <v>2.3063038936985207</v>
      </c>
      <c r="E33" s="35" t="s">
        <v>102</v>
      </c>
      <c r="F33" s="31" t="s">
        <v>119</v>
      </c>
      <c r="G33" s="34" t="s">
        <v>120</v>
      </c>
    </row>
    <row r="34" spans="2:7" ht="15.75" customHeight="1"/>
    <row r="35" spans="2:7" ht="15.75" customHeight="1"/>
    <row r="36" spans="2:7" ht="15.75" customHeight="1"/>
    <row r="37" spans="2:7" ht="15.75" customHeight="1"/>
    <row r="38" spans="2:7" ht="15.75" customHeight="1"/>
    <row r="39" spans="2:7" ht="15.75" customHeight="1"/>
    <row r="40" spans="2:7" ht="15.75" customHeight="1"/>
    <row r="41" spans="2:7" ht="15.75" customHeight="1"/>
    <row r="42" spans="2:7" ht="15.75" customHeight="1"/>
    <row r="43" spans="2:7" ht="15.75" customHeight="1"/>
    <row r="44" spans="2:7" ht="15.75" customHeight="1"/>
    <row r="45" spans="2:7" ht="15.75" customHeight="1"/>
    <row r="46" spans="2:7" ht="15.75" customHeight="1"/>
    <row r="47" spans="2:7" ht="15.75" customHeight="1"/>
    <row r="48" spans="2: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8">
    <mergeCell ref="F27:G27"/>
    <mergeCell ref="B26:F26"/>
    <mergeCell ref="B12:C12"/>
    <mergeCell ref="B22:C22"/>
    <mergeCell ref="B2:F2"/>
    <mergeCell ref="B16:F16"/>
    <mergeCell ref="B24:F24"/>
    <mergeCell ref="A14:F14"/>
  </mergeCells>
  <conditionalFormatting sqref="D23">
    <cfRule type="cellIs" dxfId="1" priority="1" operator="greaterThan">
      <formula>0</formula>
    </cfRule>
  </conditionalFormatting>
  <pageMargins left="0.7" right="0.7" top="0.75" bottom="0.75" header="0" footer="0"/>
  <pageSetup scale="8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defaultRowHeight="1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80"/>
  <sheetViews>
    <sheetView view="pageBreakPreview" topLeftCell="A15" zoomScale="85" zoomScaleSheetLayoutView="85" workbookViewId="0">
      <selection activeCell="G28" activeCellId="11" sqref="G6 G8 G25 G26 F42 F43 F54 F53 G7 G20 G27 G28"/>
    </sheetView>
  </sheetViews>
  <sheetFormatPr defaultColWidth="14.42578125" defaultRowHeight="15" customHeight="1"/>
  <cols>
    <col min="1" max="1" width="8.7109375" customWidth="1"/>
    <col min="2" max="2" width="7.5703125" customWidth="1"/>
    <col min="3" max="3" width="41.5703125" customWidth="1"/>
    <col min="4" max="4" width="10.7109375" customWidth="1"/>
    <col min="5" max="5" width="17" customWidth="1"/>
    <col min="6" max="6" width="14" customWidth="1"/>
    <col min="7" max="7" width="15.28515625" customWidth="1"/>
    <col min="8" max="8" width="11.5703125" customWidth="1"/>
    <col min="9" max="10" width="8.7109375" customWidth="1"/>
    <col min="11" max="11" width="12.140625" bestFit="1" customWidth="1"/>
  </cols>
  <sheetData>
    <row r="2" spans="1:11" ht="18.75">
      <c r="A2">
        <v>2.1</v>
      </c>
      <c r="B2" s="267" t="s">
        <v>121</v>
      </c>
      <c r="C2" s="251"/>
      <c r="D2" s="251"/>
      <c r="E2" s="251"/>
      <c r="F2" s="251"/>
      <c r="G2" s="251"/>
    </row>
    <row r="4" spans="1:11">
      <c r="B4" s="36" t="s">
        <v>81</v>
      </c>
      <c r="C4" s="36" t="s">
        <v>82</v>
      </c>
      <c r="D4" s="36" t="s">
        <v>122</v>
      </c>
      <c r="E4" s="36" t="s">
        <v>123</v>
      </c>
      <c r="F4" s="36" t="s">
        <v>124</v>
      </c>
      <c r="G4" s="36" t="s">
        <v>83</v>
      </c>
    </row>
    <row r="5" spans="1:11">
      <c r="B5" s="211">
        <v>1</v>
      </c>
      <c r="C5" s="211" t="s">
        <v>125</v>
      </c>
      <c r="D5" s="211" t="s">
        <v>126</v>
      </c>
      <c r="E5" s="212"/>
      <c r="F5" s="213"/>
      <c r="G5" s="214" t="s">
        <v>127</v>
      </c>
    </row>
    <row r="6" spans="1:11" ht="30">
      <c r="B6" s="211">
        <v>2</v>
      </c>
      <c r="C6" s="211" t="s">
        <v>740</v>
      </c>
      <c r="D6" s="127"/>
      <c r="E6" s="220"/>
      <c r="F6" s="221"/>
      <c r="G6" s="222">
        <v>3500000</v>
      </c>
      <c r="I6" s="192" t="s">
        <v>736</v>
      </c>
    </row>
    <row r="7" spans="1:11">
      <c r="B7" s="211">
        <v>3</v>
      </c>
      <c r="C7" s="211" t="s">
        <v>707</v>
      </c>
      <c r="D7" s="127">
        <v>12000</v>
      </c>
      <c r="E7" s="220"/>
      <c r="F7" s="221"/>
      <c r="G7" s="222">
        <v>9530240</v>
      </c>
      <c r="I7" s="192" t="s">
        <v>701</v>
      </c>
      <c r="J7">
        <v>8778000</v>
      </c>
      <c r="K7">
        <f>+J7*18%</f>
        <v>1580040</v>
      </c>
    </row>
    <row r="8" spans="1:11">
      <c r="B8" s="211">
        <v>4</v>
      </c>
      <c r="C8" s="211" t="s">
        <v>735</v>
      </c>
      <c r="D8" s="127"/>
      <c r="E8" s="220"/>
      <c r="F8" s="221"/>
      <c r="G8" s="222">
        <v>500000</v>
      </c>
      <c r="I8" s="192" t="s">
        <v>736</v>
      </c>
    </row>
    <row r="9" spans="1:11">
      <c r="B9" s="215"/>
      <c r="C9" s="215"/>
      <c r="D9" s="216"/>
      <c r="E9" s="217"/>
      <c r="F9" s="218"/>
      <c r="G9" s="219"/>
    </row>
    <row r="10" spans="1:11">
      <c r="B10" s="274" t="s">
        <v>88</v>
      </c>
      <c r="C10" s="255"/>
      <c r="D10" s="255"/>
      <c r="E10" s="255"/>
      <c r="F10" s="256"/>
      <c r="G10" s="38">
        <f>SUM(G6:G9)</f>
        <v>13530240</v>
      </c>
    </row>
    <row r="13" spans="1:11">
      <c r="B13" s="269" t="s">
        <v>128</v>
      </c>
      <c r="C13" s="251"/>
      <c r="D13" s="251"/>
      <c r="E13" s="251"/>
      <c r="F13" s="251"/>
      <c r="G13" s="251"/>
    </row>
    <row r="15" spans="1:11" ht="18.75">
      <c r="A15">
        <v>2.2000000000000002</v>
      </c>
      <c r="B15" s="267" t="s">
        <v>129</v>
      </c>
      <c r="C15" s="251"/>
      <c r="D15" s="251"/>
      <c r="E15" s="251"/>
      <c r="F15" s="251"/>
      <c r="G15" s="251"/>
      <c r="H15" s="251"/>
    </row>
    <row r="16" spans="1:11">
      <c r="B16" s="39"/>
    </row>
    <row r="17" spans="2:13">
      <c r="B17" s="36" t="s">
        <v>81</v>
      </c>
      <c r="C17" s="36" t="s">
        <v>10</v>
      </c>
      <c r="D17" s="36" t="s">
        <v>130</v>
      </c>
      <c r="E17" s="36" t="s">
        <v>131</v>
      </c>
      <c r="F17" s="36" t="s">
        <v>132</v>
      </c>
      <c r="G17" s="36" t="s">
        <v>83</v>
      </c>
      <c r="H17" s="36" t="s">
        <v>133</v>
      </c>
    </row>
    <row r="18" spans="2:13">
      <c r="B18" s="126"/>
      <c r="C18" s="57"/>
      <c r="D18" s="57"/>
      <c r="E18" s="57"/>
      <c r="F18" s="57"/>
      <c r="G18" s="223"/>
      <c r="H18" s="57"/>
    </row>
    <row r="19" spans="2:13" ht="15.75" customHeight="1">
      <c r="B19" s="123" t="s">
        <v>19</v>
      </c>
      <c r="C19" s="124" t="s">
        <v>136</v>
      </c>
      <c r="D19" s="126"/>
      <c r="E19" s="126"/>
      <c r="F19" s="223"/>
      <c r="G19" s="223"/>
      <c r="H19" s="57"/>
    </row>
    <row r="20" spans="2:13" ht="15.75" customHeight="1">
      <c r="B20" s="126"/>
      <c r="C20" s="127"/>
      <c r="D20" s="127" t="s">
        <v>742</v>
      </c>
      <c r="E20" s="126">
        <v>1</v>
      </c>
      <c r="F20" s="223">
        <v>4962300</v>
      </c>
      <c r="G20" s="223">
        <f t="shared" ref="G20" si="0">E20*F20</f>
        <v>4962300</v>
      </c>
      <c r="H20" s="57">
        <v>30</v>
      </c>
      <c r="I20" s="192" t="s">
        <v>737</v>
      </c>
    </row>
    <row r="21" spans="2:13" ht="15.75" customHeight="1">
      <c r="B21" s="126"/>
      <c r="C21" s="127"/>
      <c r="D21" s="126"/>
      <c r="E21" s="126"/>
      <c r="F21" s="223"/>
      <c r="G21" s="223"/>
      <c r="H21" s="57"/>
    </row>
    <row r="22" spans="2:13" ht="15.75" customHeight="1">
      <c r="B22" s="274" t="s">
        <v>135</v>
      </c>
      <c r="C22" s="256"/>
      <c r="D22" s="123"/>
      <c r="E22" s="123"/>
      <c r="F22" s="38"/>
      <c r="G22" s="38">
        <f>SUM(G20:G21)</f>
        <v>4962300</v>
      </c>
      <c r="H22" s="38">
        <f>SUM(H20:H21)</f>
        <v>30</v>
      </c>
    </row>
    <row r="23" spans="2:13" ht="15.75" customHeight="1">
      <c r="B23" s="126"/>
      <c r="C23" s="127"/>
      <c r="D23" s="126"/>
      <c r="E23" s="126"/>
      <c r="F23" s="223"/>
      <c r="G23" s="223"/>
      <c r="H23" s="57"/>
    </row>
    <row r="24" spans="2:13" ht="15.75" customHeight="1">
      <c r="B24" s="123" t="s">
        <v>61</v>
      </c>
      <c r="C24" s="124" t="s">
        <v>138</v>
      </c>
      <c r="D24" s="126"/>
      <c r="E24" s="126"/>
      <c r="F24" s="223"/>
      <c r="G24" s="223"/>
      <c r="H24" s="57"/>
    </row>
    <row r="25" spans="2:13" ht="15.75" customHeight="1">
      <c r="B25" s="123"/>
      <c r="C25" s="124" t="s">
        <v>719</v>
      </c>
      <c r="D25" s="126" t="s">
        <v>708</v>
      </c>
      <c r="E25" s="126">
        <v>1</v>
      </c>
      <c r="F25" s="223"/>
      <c r="G25" s="223">
        <v>9872060</v>
      </c>
      <c r="H25" s="57">
        <v>89.5</v>
      </c>
      <c r="I25" s="192" t="s">
        <v>736</v>
      </c>
      <c r="L25" s="192"/>
      <c r="M25" s="192"/>
    </row>
    <row r="26" spans="2:13" ht="15.75" customHeight="1">
      <c r="B26" s="123"/>
      <c r="C26" s="216" t="s">
        <v>717</v>
      </c>
      <c r="D26" s="216" t="s">
        <v>718</v>
      </c>
      <c r="E26" s="225">
        <v>1</v>
      </c>
      <c r="F26" s="224"/>
      <c r="G26" s="223">
        <v>700000</v>
      </c>
      <c r="H26" s="194"/>
      <c r="I26" s="192" t="s">
        <v>736</v>
      </c>
      <c r="J26" s="192" t="s">
        <v>732</v>
      </c>
      <c r="L26" s="193"/>
      <c r="M26" s="192"/>
    </row>
    <row r="27" spans="2:13" ht="15.75" customHeight="1">
      <c r="B27" s="123"/>
      <c r="C27" s="124" t="s">
        <v>720</v>
      </c>
      <c r="D27" s="226" t="s">
        <v>729</v>
      </c>
      <c r="E27" s="126">
        <v>1</v>
      </c>
      <c r="F27" s="223"/>
      <c r="G27" s="223">
        <v>2500000</v>
      </c>
      <c r="H27" s="57">
        <v>5</v>
      </c>
      <c r="I27" s="192" t="s">
        <v>737</v>
      </c>
      <c r="J27" s="192" t="s">
        <v>728</v>
      </c>
    </row>
    <row r="28" spans="2:13" ht="15.75" customHeight="1">
      <c r="B28" s="123"/>
      <c r="C28" s="216" t="s">
        <v>702</v>
      </c>
      <c r="D28" s="226" t="s">
        <v>727</v>
      </c>
      <c r="E28" s="126"/>
      <c r="F28" s="223"/>
      <c r="G28" s="223">
        <v>685600</v>
      </c>
      <c r="H28" s="57"/>
      <c r="I28" s="192" t="s">
        <v>737</v>
      </c>
      <c r="J28" s="192" t="s">
        <v>730</v>
      </c>
    </row>
    <row r="29" spans="2:13" ht="15.75" customHeight="1">
      <c r="B29" s="123"/>
      <c r="C29" s="216"/>
      <c r="D29" s="226"/>
      <c r="E29" s="126"/>
      <c r="F29" s="223"/>
      <c r="G29" s="223"/>
      <c r="H29" s="57"/>
      <c r="J29" s="192"/>
    </row>
    <row r="30" spans="2:13" ht="15.75" customHeight="1">
      <c r="B30" s="274" t="s">
        <v>135</v>
      </c>
      <c r="C30" s="256"/>
      <c r="D30" s="127"/>
      <c r="E30" s="126"/>
      <c r="F30" s="223"/>
      <c r="G30" s="223">
        <f>SUM(G24:G29)</f>
        <v>13757660</v>
      </c>
      <c r="H30" s="223">
        <f>SUM(H24:H29)</f>
        <v>94.5</v>
      </c>
    </row>
    <row r="31" spans="2:13" ht="15.75" customHeight="1">
      <c r="B31" s="123"/>
      <c r="C31" s="123"/>
      <c r="D31" s="127"/>
      <c r="E31" s="126"/>
      <c r="F31" s="223"/>
      <c r="G31" s="223"/>
      <c r="H31" s="223"/>
      <c r="K31" s="19">
        <f>+F43+G28-500000+32000</f>
        <v>917600</v>
      </c>
    </row>
    <row r="32" spans="2:13" ht="15.75" customHeight="1">
      <c r="B32" s="126"/>
      <c r="C32" s="127"/>
      <c r="D32" s="127"/>
      <c r="E32" s="126"/>
      <c r="F32" s="223"/>
      <c r="G32" s="223"/>
      <c r="H32" s="57"/>
    </row>
    <row r="33" spans="1:11" ht="15.75" customHeight="1">
      <c r="B33" s="274" t="s">
        <v>88</v>
      </c>
      <c r="C33" s="255"/>
      <c r="D33" s="255"/>
      <c r="E33" s="255"/>
      <c r="F33" s="256"/>
      <c r="G33" s="38">
        <f>G30+G22</f>
        <v>18719960</v>
      </c>
      <c r="H33" s="38">
        <f>H30+H22</f>
        <v>124.5</v>
      </c>
      <c r="K33" s="19">
        <f>+G25-K31</f>
        <v>8954460</v>
      </c>
    </row>
    <row r="34" spans="1:11" ht="15.75" customHeight="1">
      <c r="B34" s="39"/>
      <c r="G34" s="44"/>
    </row>
    <row r="35" spans="1:11" ht="15.75" customHeight="1">
      <c r="B35" s="269" t="s">
        <v>140</v>
      </c>
      <c r="C35" s="251"/>
      <c r="D35" s="251"/>
      <c r="E35" s="251"/>
      <c r="F35" s="251"/>
      <c r="G35" s="251"/>
      <c r="H35" s="251"/>
    </row>
    <row r="36" spans="1:11" ht="15.75" customHeight="1">
      <c r="B36" s="39"/>
      <c r="G36" s="44"/>
      <c r="I36" s="39"/>
      <c r="J36" s="39"/>
      <c r="K36" s="44"/>
    </row>
    <row r="37" spans="1:11" ht="15.75" customHeight="1"/>
    <row r="38" spans="1:11" ht="15.75" customHeight="1"/>
    <row r="39" spans="1:11" ht="15.75" customHeight="1">
      <c r="A39">
        <v>2.2999999999999998</v>
      </c>
      <c r="B39" s="267" t="s">
        <v>141</v>
      </c>
      <c r="C39" s="251"/>
      <c r="D39" s="251"/>
      <c r="E39" s="251"/>
      <c r="F39" s="251"/>
    </row>
    <row r="40" spans="1:11" ht="15.75" customHeight="1"/>
    <row r="41" spans="1:11" ht="34.15" customHeight="1">
      <c r="B41" s="45" t="s">
        <v>81</v>
      </c>
      <c r="C41" s="46" t="s">
        <v>82</v>
      </c>
      <c r="D41" s="46" t="s">
        <v>131</v>
      </c>
      <c r="E41" s="46" t="s">
        <v>132</v>
      </c>
      <c r="F41" s="46" t="s">
        <v>83</v>
      </c>
    </row>
    <row r="42" spans="1:11" s="192" customFormat="1" ht="15.75" customHeight="1">
      <c r="B42" s="35">
        <v>1</v>
      </c>
      <c r="C42" s="34" t="s">
        <v>709</v>
      </c>
      <c r="D42" s="35">
        <v>1</v>
      </c>
      <c r="E42" s="227">
        <v>500000</v>
      </c>
      <c r="F42" s="228">
        <f t="shared" ref="F42:F43" si="1">D42*E42</f>
        <v>500000</v>
      </c>
    </row>
    <row r="43" spans="1:11" s="192" customFormat="1" ht="15.75" customHeight="1">
      <c r="B43" s="35">
        <v>2</v>
      </c>
      <c r="C43" s="34" t="s">
        <v>733</v>
      </c>
      <c r="D43" s="35">
        <v>1</v>
      </c>
      <c r="E43" s="227">
        <v>700000</v>
      </c>
      <c r="F43" s="228">
        <f t="shared" si="1"/>
        <v>700000</v>
      </c>
    </row>
    <row r="44" spans="1:11" ht="15.75" customHeight="1">
      <c r="B44" s="35"/>
      <c r="C44" s="34"/>
      <c r="D44" s="35"/>
      <c r="E44" s="227"/>
      <c r="F44" s="228"/>
    </row>
    <row r="45" spans="1:11" ht="15.75" customHeight="1">
      <c r="B45" s="278" t="s">
        <v>88</v>
      </c>
      <c r="C45" s="255"/>
      <c r="D45" s="255"/>
      <c r="E45" s="256"/>
      <c r="F45" s="47">
        <f>SUM(F42:F44)</f>
        <v>1200000</v>
      </c>
    </row>
    <row r="46" spans="1:11" ht="15.75" customHeight="1"/>
    <row r="47" spans="1:11" ht="15.75" customHeight="1">
      <c r="A47" s="269" t="s">
        <v>142</v>
      </c>
      <c r="B47" s="251"/>
      <c r="C47" s="251"/>
      <c r="D47" s="251"/>
      <c r="E47" s="251"/>
      <c r="F47" s="251"/>
      <c r="G47" s="251"/>
    </row>
    <row r="48" spans="1:11" ht="15.75" customHeight="1"/>
    <row r="49" spans="1:9" ht="15.75" customHeight="1"/>
    <row r="50" spans="1:9" ht="15.75" customHeight="1">
      <c r="A50">
        <v>2.4</v>
      </c>
      <c r="B50" s="267" t="s">
        <v>143</v>
      </c>
      <c r="C50" s="251"/>
      <c r="D50" s="251"/>
      <c r="E50" s="251"/>
      <c r="F50" s="251"/>
    </row>
    <row r="51" spans="1:9" ht="15.75" customHeight="1"/>
    <row r="52" spans="1:9" ht="15.75" customHeight="1">
      <c r="B52" s="45" t="s">
        <v>81</v>
      </c>
      <c r="C52" s="46" t="s">
        <v>82</v>
      </c>
      <c r="D52" s="46" t="s">
        <v>131</v>
      </c>
      <c r="E52" s="46" t="s">
        <v>132</v>
      </c>
      <c r="F52" s="46" t="s">
        <v>83</v>
      </c>
    </row>
    <row r="53" spans="1:9" ht="15.75" customHeight="1">
      <c r="B53" s="35">
        <v>1</v>
      </c>
      <c r="C53" s="34" t="s">
        <v>710</v>
      </c>
      <c r="D53" s="35">
        <v>2</v>
      </c>
      <c r="E53" s="227">
        <v>38400</v>
      </c>
      <c r="F53" s="228">
        <f>(D53*E53)+18%*E53*2</f>
        <v>90624</v>
      </c>
      <c r="I53" s="192" t="s">
        <v>734</v>
      </c>
    </row>
    <row r="54" spans="1:9" ht="15.75" customHeight="1">
      <c r="B54" s="35">
        <v>2</v>
      </c>
      <c r="C54" s="34" t="s">
        <v>711</v>
      </c>
      <c r="D54" s="35">
        <v>1</v>
      </c>
      <c r="E54" s="227">
        <v>13900</v>
      </c>
      <c r="F54" s="228">
        <f>(D54*E54)+E54*18%</f>
        <v>16402</v>
      </c>
      <c r="I54" s="192" t="s">
        <v>731</v>
      </c>
    </row>
    <row r="55" spans="1:9" ht="15.75" customHeight="1">
      <c r="B55" s="35"/>
      <c r="C55" s="34"/>
      <c r="D55" s="35"/>
      <c r="E55" s="227"/>
      <c r="F55" s="228"/>
    </row>
    <row r="56" spans="1:9" ht="15.75" customHeight="1">
      <c r="B56" s="278" t="s">
        <v>88</v>
      </c>
      <c r="C56" s="255"/>
      <c r="D56" s="255"/>
      <c r="E56" s="256"/>
      <c r="F56" s="47">
        <f>SUM(F53:F55)</f>
        <v>107026</v>
      </c>
    </row>
    <row r="57" spans="1:9" ht="15.75" customHeight="1"/>
    <row r="58" spans="1:9" ht="15.75" customHeight="1">
      <c r="A58" s="269" t="s">
        <v>142</v>
      </c>
      <c r="B58" s="251"/>
      <c r="C58" s="251"/>
      <c r="D58" s="251"/>
      <c r="E58" s="251"/>
      <c r="F58" s="251"/>
      <c r="G58" s="251"/>
    </row>
    <row r="59" spans="1:9" ht="15.75" customHeight="1"/>
    <row r="60" spans="1:9" ht="15.75" hidden="1" customHeight="1">
      <c r="A60">
        <v>2.5</v>
      </c>
      <c r="B60" s="267" t="s">
        <v>144</v>
      </c>
      <c r="C60" s="251"/>
      <c r="D60" s="251"/>
      <c r="E60" s="251"/>
      <c r="F60" s="251"/>
    </row>
    <row r="61" spans="1:9" ht="15.75" hidden="1" customHeight="1"/>
    <row r="62" spans="1:9" ht="15.75" hidden="1" customHeight="1">
      <c r="B62" s="48" t="s">
        <v>81</v>
      </c>
      <c r="C62" s="36" t="s">
        <v>82</v>
      </c>
      <c r="D62" s="36" t="s">
        <v>131</v>
      </c>
      <c r="E62" s="36" t="s">
        <v>132</v>
      </c>
      <c r="F62" s="36" t="s">
        <v>83</v>
      </c>
    </row>
    <row r="63" spans="1:9" ht="15.75" hidden="1" customHeight="1">
      <c r="B63" s="40">
        <v>1</v>
      </c>
      <c r="C63" s="37"/>
      <c r="D63" s="40"/>
      <c r="E63" s="49"/>
      <c r="F63" s="42"/>
    </row>
    <row r="64" spans="1:9" ht="15.75" hidden="1" customHeight="1">
      <c r="B64" s="40"/>
      <c r="C64" s="37"/>
      <c r="D64" s="40"/>
      <c r="E64" s="49"/>
      <c r="F64" s="42">
        <f t="shared" ref="F64:F65" si="2">E64*D64</f>
        <v>0</v>
      </c>
    </row>
    <row r="65" spans="1:7" ht="15.75" hidden="1" customHeight="1">
      <c r="B65" s="40"/>
      <c r="C65" s="37"/>
      <c r="D65" s="40"/>
      <c r="E65" s="49"/>
      <c r="F65" s="42">
        <f t="shared" si="2"/>
        <v>0</v>
      </c>
    </row>
    <row r="66" spans="1:7" ht="15.75" hidden="1" customHeight="1">
      <c r="B66" s="274" t="s">
        <v>88</v>
      </c>
      <c r="C66" s="255"/>
      <c r="D66" s="255"/>
      <c r="E66" s="256"/>
      <c r="F66" s="38">
        <f>SUM(F63:F65)</f>
        <v>0</v>
      </c>
    </row>
    <row r="67" spans="1:7" ht="15.75" hidden="1" customHeight="1">
      <c r="A67" s="275" t="s">
        <v>145</v>
      </c>
      <c r="B67" s="276"/>
      <c r="C67" s="276"/>
      <c r="D67" s="276"/>
      <c r="E67" s="276"/>
      <c r="F67" s="276"/>
      <c r="G67" s="277"/>
    </row>
    <row r="68" spans="1:7" ht="15.75" hidden="1" customHeight="1"/>
    <row r="69" spans="1:7" ht="15.75" customHeight="1"/>
    <row r="70" spans="1:7" ht="15.75" customHeight="1">
      <c r="A70">
        <v>2.6</v>
      </c>
      <c r="B70" s="267" t="s">
        <v>146</v>
      </c>
      <c r="C70" s="251"/>
      <c r="D70" s="251"/>
    </row>
    <row r="71" spans="1:7" ht="15.75" customHeight="1"/>
    <row r="72" spans="1:7" ht="23.45" customHeight="1">
      <c r="B72" s="50" t="s">
        <v>81</v>
      </c>
      <c r="C72" s="51" t="s">
        <v>82</v>
      </c>
      <c r="D72" s="51" t="s">
        <v>147</v>
      </c>
    </row>
    <row r="73" spans="1:7" ht="15.75" customHeight="1">
      <c r="B73" s="229">
        <v>1</v>
      </c>
      <c r="C73" s="230" t="s">
        <v>712</v>
      </c>
      <c r="D73" s="231">
        <v>150000</v>
      </c>
    </row>
    <row r="74" spans="1:7" ht="15.75" customHeight="1">
      <c r="B74" s="229">
        <v>2</v>
      </c>
      <c r="C74" s="230" t="s">
        <v>713</v>
      </c>
      <c r="D74" s="231">
        <v>50000</v>
      </c>
    </row>
    <row r="75" spans="1:7" ht="15.75" customHeight="1">
      <c r="B75" s="229">
        <v>3</v>
      </c>
      <c r="C75" s="230" t="s">
        <v>714</v>
      </c>
      <c r="D75" s="231">
        <v>200000</v>
      </c>
    </row>
    <row r="76" spans="1:7" ht="15.75" customHeight="1">
      <c r="B76" s="229">
        <v>4</v>
      </c>
      <c r="C76" s="230" t="s">
        <v>715</v>
      </c>
      <c r="D76" s="231">
        <v>30000</v>
      </c>
    </row>
    <row r="77" spans="1:7" ht="15.75" customHeight="1">
      <c r="B77" s="229">
        <v>5</v>
      </c>
      <c r="C77" s="230" t="s">
        <v>716</v>
      </c>
      <c r="D77" s="231">
        <v>70000</v>
      </c>
    </row>
    <row r="78" spans="1:7" ht="15.75" customHeight="1">
      <c r="B78" s="271" t="s">
        <v>88</v>
      </c>
      <c r="C78" s="272"/>
      <c r="D78" s="232">
        <f>SUM(D73:D77)</f>
        <v>500000</v>
      </c>
    </row>
    <row r="79" spans="1:7" ht="15.75" customHeight="1"/>
    <row r="80" spans="1:7" ht="25.5" customHeight="1">
      <c r="A80" s="273" t="s">
        <v>148</v>
      </c>
      <c r="B80" s="251"/>
      <c r="C80" s="251"/>
      <c r="D80" s="251"/>
      <c r="E80" s="251"/>
    </row>
  </sheetData>
  <mergeCells count="20">
    <mergeCell ref="B10:F10"/>
    <mergeCell ref="B2:G2"/>
    <mergeCell ref="B33:F33"/>
    <mergeCell ref="B56:E56"/>
    <mergeCell ref="B39:F39"/>
    <mergeCell ref="B35:H35"/>
    <mergeCell ref="B13:G13"/>
    <mergeCell ref="B15:H15"/>
    <mergeCell ref="B22:C22"/>
    <mergeCell ref="B30:C30"/>
    <mergeCell ref="B45:E45"/>
    <mergeCell ref="A47:G47"/>
    <mergeCell ref="B50:F50"/>
    <mergeCell ref="B78:C78"/>
    <mergeCell ref="A80:E80"/>
    <mergeCell ref="A58:G58"/>
    <mergeCell ref="B66:E66"/>
    <mergeCell ref="B60:F60"/>
    <mergeCell ref="A67:G67"/>
    <mergeCell ref="B70:D70"/>
  </mergeCells>
  <pageMargins left="0.7" right="0.7" top="0.75" bottom="0.75" header="0" footer="0"/>
  <pageSetup scale="71" orientation="portrait" r:id="rId1"/>
  <rowBreaks count="1" manualBreakCount="1">
    <brk id="48" max="7" man="1"/>
  </rowBreaks>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00"/>
  <sheetViews>
    <sheetView view="pageBreakPreview" topLeftCell="A31" zoomScale="60" zoomScaleNormal="85" workbookViewId="0">
      <selection activeCell="J35" sqref="J35"/>
    </sheetView>
  </sheetViews>
  <sheetFormatPr defaultColWidth="14.42578125" defaultRowHeight="15" customHeight="1"/>
  <cols>
    <col min="1" max="1" width="41.28515625" customWidth="1"/>
    <col min="2" max="2" width="10.7109375" customWidth="1"/>
    <col min="3" max="3" width="17.5703125" customWidth="1"/>
    <col min="4" max="4" width="17.85546875" customWidth="1"/>
    <col min="5" max="5" width="16.5703125" customWidth="1"/>
    <col min="6" max="7" width="17.5703125" customWidth="1"/>
    <col min="8" max="8" width="18.42578125" customWidth="1"/>
    <col min="9" max="9" width="17" customWidth="1"/>
    <col min="10" max="10" width="14.7109375" customWidth="1"/>
    <col min="11" max="11" width="18.5703125" customWidth="1"/>
    <col min="12" max="12" width="16.85546875" customWidth="1"/>
    <col min="13" max="13" width="17.140625" customWidth="1"/>
    <col min="14" max="14" width="19.7109375" customWidth="1"/>
    <col min="15" max="15" width="18" customWidth="1"/>
    <col min="16" max="16" width="16.42578125" customWidth="1"/>
    <col min="17" max="17" width="17.7109375" customWidth="1"/>
  </cols>
  <sheetData>
    <row r="2" spans="1:11" ht="18.75">
      <c r="A2" s="267" t="s">
        <v>149</v>
      </c>
      <c r="B2" s="251"/>
      <c r="C2" s="251"/>
      <c r="D2" s="251"/>
      <c r="E2" s="251"/>
      <c r="F2" s="251"/>
      <c r="G2" s="251"/>
      <c r="H2" s="251"/>
      <c r="I2" s="251"/>
      <c r="J2" s="251"/>
      <c r="K2" s="251"/>
    </row>
    <row r="4" spans="1:11">
      <c r="A4" s="52"/>
      <c r="B4" s="52"/>
      <c r="C4" s="52"/>
      <c r="D4" s="52"/>
      <c r="E4" s="53">
        <v>1</v>
      </c>
      <c r="F4" s="54">
        <f t="shared" ref="F4:K4" si="0">(E4*5%)+E4</f>
        <v>1.05</v>
      </c>
      <c r="G4" s="54">
        <f t="shared" si="0"/>
        <v>1.1025</v>
      </c>
      <c r="H4" s="54">
        <f t="shared" si="0"/>
        <v>1.1576250000000001</v>
      </c>
      <c r="I4" s="54">
        <f t="shared" si="0"/>
        <v>1.2155062500000002</v>
      </c>
      <c r="J4" s="54">
        <f t="shared" si="0"/>
        <v>1.2762815625000004</v>
      </c>
      <c r="K4" s="54">
        <f t="shared" si="0"/>
        <v>1.3400956406250004</v>
      </c>
    </row>
    <row r="5" spans="1:11">
      <c r="A5" s="52"/>
      <c r="B5" s="52"/>
      <c r="C5" s="52"/>
      <c r="D5" s="52"/>
      <c r="E5" s="52"/>
      <c r="F5" s="52"/>
      <c r="G5" s="52"/>
      <c r="H5" s="52"/>
      <c r="I5" s="52"/>
      <c r="J5" s="52"/>
      <c r="K5" s="52"/>
    </row>
    <row r="6" spans="1:11">
      <c r="A6" s="55" t="s">
        <v>150</v>
      </c>
      <c r="B6" s="55" t="s">
        <v>122</v>
      </c>
      <c r="C6" s="55" t="s">
        <v>151</v>
      </c>
      <c r="D6" s="55" t="s">
        <v>152</v>
      </c>
      <c r="E6" s="56" t="s">
        <v>153</v>
      </c>
      <c r="F6" s="56" t="s">
        <v>154</v>
      </c>
      <c r="G6" s="56" t="s">
        <v>155</v>
      </c>
      <c r="H6" s="56" t="s">
        <v>156</v>
      </c>
      <c r="I6" s="56" t="s">
        <v>157</v>
      </c>
      <c r="J6" s="56" t="s">
        <v>158</v>
      </c>
      <c r="K6" s="56" t="s">
        <v>159</v>
      </c>
    </row>
    <row r="7" spans="1:11">
      <c r="A7" s="57"/>
      <c r="B7" s="57"/>
      <c r="C7" s="57"/>
      <c r="D7" s="57"/>
      <c r="E7" s="57"/>
      <c r="F7" s="57"/>
      <c r="G7" s="57"/>
      <c r="H7" s="57"/>
      <c r="I7" s="57"/>
      <c r="J7" s="57"/>
      <c r="K7" s="57"/>
    </row>
    <row r="8" spans="1:11">
      <c r="A8" s="57" t="s">
        <v>160</v>
      </c>
      <c r="B8" s="57" t="s">
        <v>161</v>
      </c>
      <c r="C8" s="57">
        <v>1</v>
      </c>
      <c r="D8" s="59">
        <v>20000</v>
      </c>
      <c r="E8" s="59">
        <f t="shared" ref="E8:K8" si="1">$C8*$D8*12*E$4</f>
        <v>240000</v>
      </c>
      <c r="F8" s="59">
        <f t="shared" si="1"/>
        <v>252000</v>
      </c>
      <c r="G8" s="59">
        <f t="shared" si="1"/>
        <v>264600</v>
      </c>
      <c r="H8" s="59">
        <f t="shared" si="1"/>
        <v>277830.00000000006</v>
      </c>
      <c r="I8" s="59">
        <f t="shared" si="1"/>
        <v>291721.50000000006</v>
      </c>
      <c r="J8" s="59">
        <f t="shared" si="1"/>
        <v>306307.57500000007</v>
      </c>
      <c r="K8" s="59">
        <f t="shared" si="1"/>
        <v>321622.9537500001</v>
      </c>
    </row>
    <row r="9" spans="1:11">
      <c r="A9" s="57" t="s">
        <v>162</v>
      </c>
      <c r="B9" s="57" t="s">
        <v>161</v>
      </c>
      <c r="C9" s="57">
        <v>1</v>
      </c>
      <c r="D9" s="59">
        <v>10000</v>
      </c>
      <c r="E9" s="59">
        <f t="shared" ref="E9:K9" si="2">$C9*$D9*12*E$4</f>
        <v>120000</v>
      </c>
      <c r="F9" s="59">
        <f t="shared" si="2"/>
        <v>126000</v>
      </c>
      <c r="G9" s="59">
        <f t="shared" si="2"/>
        <v>132300</v>
      </c>
      <c r="H9" s="59">
        <f t="shared" si="2"/>
        <v>138915.00000000003</v>
      </c>
      <c r="I9" s="59">
        <f t="shared" si="2"/>
        <v>145860.75000000003</v>
      </c>
      <c r="J9" s="59">
        <f t="shared" si="2"/>
        <v>153153.78750000003</v>
      </c>
      <c r="K9" s="59">
        <f t="shared" si="2"/>
        <v>160811.47687500005</v>
      </c>
    </row>
    <row r="10" spans="1:11">
      <c r="A10" s="57" t="s">
        <v>163</v>
      </c>
      <c r="B10" s="57" t="s">
        <v>161</v>
      </c>
      <c r="C10" s="57">
        <v>1</v>
      </c>
      <c r="D10" s="59">
        <v>7500</v>
      </c>
      <c r="E10" s="59">
        <f t="shared" ref="E10:K10" si="3">$C10*$D10*12*E$4</f>
        <v>90000</v>
      </c>
      <c r="F10" s="59">
        <f t="shared" si="3"/>
        <v>94500</v>
      </c>
      <c r="G10" s="59">
        <f t="shared" si="3"/>
        <v>99225</v>
      </c>
      <c r="H10" s="59">
        <f t="shared" si="3"/>
        <v>104186.25000000001</v>
      </c>
      <c r="I10" s="59">
        <f t="shared" si="3"/>
        <v>109395.56250000001</v>
      </c>
      <c r="J10" s="59">
        <f t="shared" si="3"/>
        <v>114865.34062500003</v>
      </c>
      <c r="K10" s="59">
        <f t="shared" si="3"/>
        <v>120608.60765625004</v>
      </c>
    </row>
    <row r="11" spans="1:11">
      <c r="A11" s="57" t="s">
        <v>164</v>
      </c>
      <c r="B11" s="57" t="s">
        <v>165</v>
      </c>
      <c r="C11" s="57">
        <v>12</v>
      </c>
      <c r="D11" s="59">
        <v>1500</v>
      </c>
      <c r="E11" s="59">
        <f t="shared" ref="E11:K11" si="4">$C11*$D11*E$4</f>
        <v>18000</v>
      </c>
      <c r="F11" s="59">
        <f t="shared" si="4"/>
        <v>18900</v>
      </c>
      <c r="G11" s="59">
        <f t="shared" si="4"/>
        <v>19845</v>
      </c>
      <c r="H11" s="59">
        <f t="shared" si="4"/>
        <v>20837.250000000004</v>
      </c>
      <c r="I11" s="59">
        <f t="shared" si="4"/>
        <v>21879.112500000003</v>
      </c>
      <c r="J11" s="59">
        <f t="shared" si="4"/>
        <v>22973.068125000005</v>
      </c>
      <c r="K11" s="59">
        <f t="shared" si="4"/>
        <v>24121.721531250008</v>
      </c>
    </row>
    <row r="12" spans="1:11">
      <c r="A12" s="57" t="s">
        <v>166</v>
      </c>
      <c r="B12" s="57" t="s">
        <v>165</v>
      </c>
      <c r="C12" s="57">
        <v>12</v>
      </c>
      <c r="D12" s="59">
        <v>1000</v>
      </c>
      <c r="E12" s="59">
        <f t="shared" ref="E12:K12" si="5">$C12*$D12*E$4</f>
        <v>12000</v>
      </c>
      <c r="F12" s="59">
        <f t="shared" si="5"/>
        <v>12600</v>
      </c>
      <c r="G12" s="59">
        <f t="shared" si="5"/>
        <v>13230</v>
      </c>
      <c r="H12" s="59">
        <f t="shared" si="5"/>
        <v>13891.500000000002</v>
      </c>
      <c r="I12" s="59">
        <f t="shared" si="5"/>
        <v>14586.075000000003</v>
      </c>
      <c r="J12" s="59">
        <f t="shared" si="5"/>
        <v>15315.378750000003</v>
      </c>
      <c r="K12" s="59">
        <f t="shared" si="5"/>
        <v>16081.147687500004</v>
      </c>
    </row>
    <row r="13" spans="1:11">
      <c r="A13" s="57" t="s">
        <v>167</v>
      </c>
      <c r="B13" s="57" t="s">
        <v>165</v>
      </c>
      <c r="C13" s="57">
        <v>12</v>
      </c>
      <c r="D13" s="59">
        <v>750</v>
      </c>
      <c r="E13" s="59">
        <f t="shared" ref="E13:K13" si="6">$C13*$D13*E$4</f>
        <v>9000</v>
      </c>
      <c r="F13" s="59">
        <f t="shared" si="6"/>
        <v>9450</v>
      </c>
      <c r="G13" s="59">
        <f t="shared" si="6"/>
        <v>9922.5</v>
      </c>
      <c r="H13" s="59">
        <f t="shared" si="6"/>
        <v>10418.625000000002</v>
      </c>
      <c r="I13" s="59">
        <f t="shared" si="6"/>
        <v>10939.556250000001</v>
      </c>
      <c r="J13" s="59">
        <f t="shared" si="6"/>
        <v>11486.534062500003</v>
      </c>
      <c r="K13" s="59">
        <f t="shared" si="6"/>
        <v>12060.860765625004</v>
      </c>
    </row>
    <row r="14" spans="1:11">
      <c r="A14" s="57" t="s">
        <v>168</v>
      </c>
      <c r="B14" s="57" t="s">
        <v>165</v>
      </c>
      <c r="C14" s="57">
        <v>12</v>
      </c>
      <c r="D14" s="59">
        <v>5000</v>
      </c>
      <c r="E14" s="59">
        <f t="shared" ref="E14:K14" si="7">$C14*$D14*E$4</f>
        <v>60000</v>
      </c>
      <c r="F14" s="59">
        <f t="shared" si="7"/>
        <v>63000</v>
      </c>
      <c r="G14" s="59">
        <f t="shared" si="7"/>
        <v>66150</v>
      </c>
      <c r="H14" s="59">
        <f t="shared" si="7"/>
        <v>69457.500000000015</v>
      </c>
      <c r="I14" s="59">
        <f t="shared" si="7"/>
        <v>72930.375000000015</v>
      </c>
      <c r="J14" s="59">
        <f t="shared" si="7"/>
        <v>76576.893750000017</v>
      </c>
      <c r="K14" s="59">
        <f t="shared" si="7"/>
        <v>80405.738437500026</v>
      </c>
    </row>
    <row r="15" spans="1:11">
      <c r="A15" s="57" t="s">
        <v>169</v>
      </c>
      <c r="B15" s="57" t="s">
        <v>165</v>
      </c>
      <c r="C15" s="57">
        <v>12</v>
      </c>
      <c r="D15" s="59">
        <v>2000</v>
      </c>
      <c r="E15" s="59">
        <f t="shared" ref="E15:K15" si="8">$C15*$D15*E$4</f>
        <v>24000</v>
      </c>
      <c r="F15" s="59">
        <f t="shared" si="8"/>
        <v>25200</v>
      </c>
      <c r="G15" s="59">
        <f t="shared" si="8"/>
        <v>26460</v>
      </c>
      <c r="H15" s="59">
        <f t="shared" si="8"/>
        <v>27783.000000000004</v>
      </c>
      <c r="I15" s="59">
        <f t="shared" si="8"/>
        <v>29172.150000000005</v>
      </c>
      <c r="J15" s="59">
        <f t="shared" si="8"/>
        <v>30630.757500000007</v>
      </c>
      <c r="K15" s="59">
        <f t="shared" si="8"/>
        <v>32162.295375000009</v>
      </c>
    </row>
    <row r="16" spans="1:11">
      <c r="A16" s="57" t="s">
        <v>170</v>
      </c>
      <c r="B16" s="57" t="s">
        <v>171</v>
      </c>
      <c r="C16" s="57">
        <v>1</v>
      </c>
      <c r="D16" s="59">
        <v>30000</v>
      </c>
      <c r="E16" s="59">
        <f t="shared" ref="E16:K16" si="9">$D16*E$4*$C16</f>
        <v>30000</v>
      </c>
      <c r="F16" s="59">
        <f t="shared" si="9"/>
        <v>31500</v>
      </c>
      <c r="G16" s="59">
        <f t="shared" si="9"/>
        <v>33075</v>
      </c>
      <c r="H16" s="59">
        <f t="shared" si="9"/>
        <v>34728.750000000007</v>
      </c>
      <c r="I16" s="59">
        <f t="shared" si="9"/>
        <v>36465.187500000007</v>
      </c>
      <c r="J16" s="59">
        <f t="shared" si="9"/>
        <v>38288.446875000009</v>
      </c>
      <c r="K16" s="59">
        <f t="shared" si="9"/>
        <v>40202.869218750013</v>
      </c>
    </row>
    <row r="17" spans="1:17">
      <c r="A17" s="194" t="s">
        <v>738</v>
      </c>
      <c r="B17" s="57" t="s">
        <v>165</v>
      </c>
      <c r="C17" s="57">
        <v>12</v>
      </c>
      <c r="D17" s="59">
        <v>10000</v>
      </c>
      <c r="E17" s="59">
        <f t="shared" ref="E17:K17" si="10">$D17*E$4*$C17</f>
        <v>120000</v>
      </c>
      <c r="F17" s="59">
        <f t="shared" si="10"/>
        <v>126000</v>
      </c>
      <c r="G17" s="59">
        <f t="shared" si="10"/>
        <v>132300</v>
      </c>
      <c r="H17" s="59">
        <f t="shared" si="10"/>
        <v>138915.00000000003</v>
      </c>
      <c r="I17" s="59">
        <f t="shared" si="10"/>
        <v>145860.75000000003</v>
      </c>
      <c r="J17" s="59">
        <f t="shared" si="10"/>
        <v>153153.78750000003</v>
      </c>
      <c r="K17" s="59">
        <f t="shared" si="10"/>
        <v>160811.47687500005</v>
      </c>
    </row>
    <row r="18" spans="1:17">
      <c r="A18" s="57"/>
      <c r="B18" s="57"/>
      <c r="C18" s="57"/>
      <c r="D18" s="59"/>
      <c r="E18" s="59"/>
      <c r="F18" s="59"/>
      <c r="G18" s="59"/>
      <c r="H18" s="59"/>
      <c r="I18" s="59"/>
      <c r="J18" s="59"/>
      <c r="K18" s="59"/>
    </row>
    <row r="19" spans="1:17" ht="15.75" customHeight="1">
      <c r="A19" s="60" t="s">
        <v>172</v>
      </c>
      <c r="B19" s="60"/>
      <c r="C19" s="60"/>
      <c r="D19" s="61"/>
      <c r="E19" s="61">
        <f t="shared" ref="E19:K19" si="11">SUM(E8:E18)</f>
        <v>723000</v>
      </c>
      <c r="F19" s="61">
        <f t="shared" si="11"/>
        <v>759150</v>
      </c>
      <c r="G19" s="61">
        <f t="shared" si="11"/>
        <v>797107.5</v>
      </c>
      <c r="H19" s="61">
        <f t="shared" si="11"/>
        <v>836962.87500000012</v>
      </c>
      <c r="I19" s="61">
        <f t="shared" si="11"/>
        <v>878811.01875000016</v>
      </c>
      <c r="J19" s="61">
        <f t="shared" si="11"/>
        <v>922751.56968750013</v>
      </c>
      <c r="K19" s="61">
        <f t="shared" si="11"/>
        <v>968889.14817187539</v>
      </c>
    </row>
    <row r="20" spans="1:17" ht="15.75" customHeight="1"/>
    <row r="21" spans="1:17" ht="15.75" customHeight="1"/>
    <row r="22" spans="1:17" ht="15.75" customHeight="1"/>
    <row r="23" spans="1:17" ht="15.75" customHeight="1"/>
    <row r="24" spans="1:17" ht="15.75" customHeight="1">
      <c r="A24" s="281"/>
      <c r="B24" s="251"/>
      <c r="C24" s="251"/>
      <c r="D24" s="251"/>
      <c r="E24" s="251"/>
      <c r="F24" s="251"/>
      <c r="G24" s="251"/>
      <c r="H24" s="251"/>
      <c r="I24" s="251"/>
      <c r="J24" s="251"/>
      <c r="K24" s="251"/>
      <c r="L24" s="251"/>
      <c r="M24" s="251"/>
      <c r="N24" s="251"/>
      <c r="O24" s="251"/>
    </row>
    <row r="25" spans="1:17" ht="15.75" customHeight="1">
      <c r="A25" s="233" t="s">
        <v>173</v>
      </c>
    </row>
    <row r="26" spans="1:17" ht="15.75" customHeight="1">
      <c r="A26" s="62"/>
      <c r="B26" s="62"/>
      <c r="C26" s="62"/>
      <c r="D26" s="62"/>
      <c r="E26" s="62"/>
      <c r="F26" s="62"/>
      <c r="G26" s="62"/>
      <c r="H26" s="62"/>
      <c r="I26" s="62"/>
      <c r="J26" s="62"/>
      <c r="K26" s="279" t="s">
        <v>173</v>
      </c>
      <c r="L26" s="279"/>
      <c r="M26" s="279"/>
      <c r="N26" s="279"/>
      <c r="O26" s="279"/>
      <c r="P26" s="279"/>
      <c r="Q26" s="279"/>
    </row>
    <row r="27" spans="1:17" ht="15.75" customHeight="1">
      <c r="A27" s="52"/>
      <c r="B27" s="52"/>
      <c r="C27" s="282" t="s">
        <v>174</v>
      </c>
      <c r="D27" s="253"/>
      <c r="E27" s="253"/>
      <c r="F27" s="253"/>
      <c r="G27" s="253"/>
      <c r="H27" s="253"/>
      <c r="I27" s="253"/>
      <c r="J27" s="52"/>
      <c r="K27" s="283" t="s">
        <v>175</v>
      </c>
      <c r="L27" s="253"/>
      <c r="M27" s="253"/>
      <c r="N27" s="253"/>
      <c r="O27" s="253"/>
      <c r="P27" s="253"/>
      <c r="Q27" s="253"/>
    </row>
    <row r="28" spans="1:17" ht="15.75" customHeight="1">
      <c r="A28" s="55" t="s">
        <v>150</v>
      </c>
      <c r="B28" s="63"/>
      <c r="C28" s="64" t="s">
        <v>153</v>
      </c>
      <c r="D28" s="64" t="s">
        <v>154</v>
      </c>
      <c r="E28" s="64" t="s">
        <v>155</v>
      </c>
      <c r="F28" s="64" t="s">
        <v>156</v>
      </c>
      <c r="G28" s="64" t="s">
        <v>157</v>
      </c>
      <c r="H28" s="64" t="s">
        <v>158</v>
      </c>
      <c r="I28" s="64" t="s">
        <v>159</v>
      </c>
      <c r="J28" s="65"/>
      <c r="K28" s="64" t="s">
        <v>153</v>
      </c>
      <c r="L28" s="64" t="s">
        <v>154</v>
      </c>
      <c r="M28" s="64" t="s">
        <v>155</v>
      </c>
      <c r="N28" s="64" t="s">
        <v>156</v>
      </c>
      <c r="O28" s="64" t="s">
        <v>157</v>
      </c>
      <c r="P28" s="64" t="s">
        <v>158</v>
      </c>
      <c r="Q28" s="64" t="s">
        <v>159</v>
      </c>
    </row>
    <row r="29" spans="1:17" ht="15.75" customHeight="1">
      <c r="A29" s="66" t="s">
        <v>176</v>
      </c>
      <c r="B29" s="57"/>
      <c r="C29" s="57"/>
      <c r="D29" s="57"/>
      <c r="E29" s="57"/>
      <c r="F29" s="57"/>
      <c r="G29" s="67"/>
      <c r="H29" s="67"/>
      <c r="I29" s="67"/>
      <c r="J29" s="57"/>
      <c r="K29" s="57"/>
      <c r="L29" s="57"/>
      <c r="M29" s="57"/>
      <c r="N29" s="57"/>
      <c r="O29" s="67"/>
      <c r="P29" s="67"/>
      <c r="Q29" s="67"/>
    </row>
    <row r="30" spans="1:17" ht="15.75" customHeight="1">
      <c r="A30" s="66"/>
      <c r="B30" s="57"/>
      <c r="C30" s="57"/>
      <c r="D30" s="57"/>
      <c r="E30" s="57"/>
      <c r="F30" s="57"/>
      <c r="G30" s="67"/>
      <c r="H30" s="67"/>
      <c r="I30" s="67"/>
      <c r="J30" s="57"/>
      <c r="K30" s="57"/>
      <c r="L30" s="57"/>
      <c r="M30" s="57"/>
      <c r="N30" s="57"/>
      <c r="O30" s="67"/>
      <c r="P30" s="67"/>
      <c r="Q30" s="67"/>
    </row>
    <row r="31" spans="1:17" ht="15.75" customHeight="1">
      <c r="A31" s="68"/>
      <c r="B31" s="68"/>
      <c r="C31" s="57"/>
      <c r="D31" s="57"/>
      <c r="E31" s="57"/>
      <c r="F31" s="57"/>
      <c r="G31" s="57"/>
      <c r="H31" s="57"/>
      <c r="I31" s="57"/>
      <c r="J31" s="57"/>
      <c r="K31" s="57"/>
      <c r="L31" s="57"/>
      <c r="M31" s="57"/>
      <c r="N31" s="57"/>
      <c r="O31" s="57"/>
      <c r="P31" s="57"/>
      <c r="Q31" s="57"/>
    </row>
    <row r="32" spans="1:17" ht="15.75" customHeight="1">
      <c r="A32" s="69" t="s">
        <v>177</v>
      </c>
      <c r="B32" s="69"/>
      <c r="C32" s="57"/>
      <c r="D32" s="57"/>
      <c r="E32" s="57"/>
      <c r="F32" s="57"/>
      <c r="G32" s="57"/>
      <c r="H32" s="57"/>
      <c r="I32" s="57"/>
      <c r="J32" s="57"/>
      <c r="K32" s="57"/>
      <c r="L32" s="57"/>
      <c r="M32" s="57"/>
      <c r="N32" s="57"/>
      <c r="O32" s="57"/>
      <c r="P32" s="57"/>
      <c r="Q32" s="57"/>
    </row>
    <row r="33" spans="1:17" ht="15.75" customHeight="1">
      <c r="A33" s="68" t="s">
        <v>178</v>
      </c>
      <c r="B33" s="68"/>
      <c r="C33" s="70">
        <f>'1.Project Cost and MOF'!D5</f>
        <v>13530240</v>
      </c>
      <c r="D33" s="70">
        <f t="shared" ref="D33:I33" si="12">C36</f>
        <v>13101331.392000001</v>
      </c>
      <c r="E33" s="70">
        <f t="shared" si="12"/>
        <v>12672422.784000002</v>
      </c>
      <c r="F33" s="70">
        <f t="shared" si="12"/>
        <v>12243514.176000003</v>
      </c>
      <c r="G33" s="70">
        <f t="shared" si="12"/>
        <v>11814605.568000004</v>
      </c>
      <c r="H33" s="70">
        <f t="shared" si="12"/>
        <v>11385696.960000005</v>
      </c>
      <c r="I33" s="70">
        <f t="shared" si="12"/>
        <v>10956788.352000006</v>
      </c>
      <c r="J33" s="57"/>
      <c r="K33" s="70">
        <f>C33</f>
        <v>13530240</v>
      </c>
      <c r="L33" s="70">
        <f t="shared" ref="L33:Q33" si="13">K36</f>
        <v>12177216</v>
      </c>
      <c r="M33" s="70">
        <f t="shared" si="13"/>
        <v>10959494.4</v>
      </c>
      <c r="N33" s="70">
        <f t="shared" si="13"/>
        <v>9863544.9600000009</v>
      </c>
      <c r="O33" s="70">
        <f t="shared" si="13"/>
        <v>8877190.4640000015</v>
      </c>
      <c r="P33" s="70">
        <f t="shared" si="13"/>
        <v>7989471.4176000012</v>
      </c>
      <c r="Q33" s="70">
        <f t="shared" si="13"/>
        <v>7190524.2758400012</v>
      </c>
    </row>
    <row r="34" spans="1:17" ht="15.75" customHeight="1">
      <c r="A34" s="68" t="s">
        <v>179</v>
      </c>
      <c r="B34" s="68"/>
      <c r="C34" s="70">
        <f t="shared" ref="C34:I34" si="14">$C$33*$B$70</f>
        <v>428908.60800000001</v>
      </c>
      <c r="D34" s="70">
        <f t="shared" si="14"/>
        <v>428908.60800000001</v>
      </c>
      <c r="E34" s="70">
        <f t="shared" si="14"/>
        <v>428908.60800000001</v>
      </c>
      <c r="F34" s="70">
        <f t="shared" si="14"/>
        <v>428908.60800000001</v>
      </c>
      <c r="G34" s="70">
        <f t="shared" si="14"/>
        <v>428908.60800000001</v>
      </c>
      <c r="H34" s="70">
        <f t="shared" si="14"/>
        <v>428908.60800000001</v>
      </c>
      <c r="I34" s="70">
        <f t="shared" si="14"/>
        <v>428908.60800000001</v>
      </c>
      <c r="J34" s="57"/>
      <c r="K34" s="70">
        <f t="shared" ref="K34:Q34" si="15">K33*$C$70</f>
        <v>1353024</v>
      </c>
      <c r="L34" s="70">
        <f t="shared" si="15"/>
        <v>1217721.6000000001</v>
      </c>
      <c r="M34" s="70">
        <f t="shared" si="15"/>
        <v>1095949.4400000002</v>
      </c>
      <c r="N34" s="70">
        <f t="shared" si="15"/>
        <v>986354.49600000016</v>
      </c>
      <c r="O34" s="70">
        <f t="shared" si="15"/>
        <v>887719.04640000022</v>
      </c>
      <c r="P34" s="70">
        <f t="shared" si="15"/>
        <v>798947.14176000014</v>
      </c>
      <c r="Q34" s="70">
        <f t="shared" si="15"/>
        <v>719052.42758400016</v>
      </c>
    </row>
    <row r="35" spans="1:17" ht="15.75" customHeight="1">
      <c r="A35" s="68" t="s">
        <v>180</v>
      </c>
      <c r="B35" s="68"/>
      <c r="C35" s="70">
        <f>C34</f>
        <v>428908.60800000001</v>
      </c>
      <c r="D35" s="70">
        <f t="shared" ref="D35:I35" si="16">C35+D34</f>
        <v>857817.21600000001</v>
      </c>
      <c r="E35" s="70">
        <f t="shared" si="16"/>
        <v>1286725.824</v>
      </c>
      <c r="F35" s="70">
        <f t="shared" si="16"/>
        <v>1715634.432</v>
      </c>
      <c r="G35" s="70">
        <f t="shared" si="16"/>
        <v>2144543.04</v>
      </c>
      <c r="H35" s="70">
        <f t="shared" si="16"/>
        <v>2573451.648</v>
      </c>
      <c r="I35" s="70">
        <f t="shared" si="16"/>
        <v>3002360.2560000001</v>
      </c>
      <c r="J35" s="57"/>
      <c r="K35" s="70">
        <f>K34</f>
        <v>1353024</v>
      </c>
      <c r="L35" s="70">
        <f t="shared" ref="L35:Q35" si="17">K35+L34</f>
        <v>2570745.6</v>
      </c>
      <c r="M35" s="70">
        <f t="shared" si="17"/>
        <v>3666695.04</v>
      </c>
      <c r="N35" s="70">
        <f t="shared" si="17"/>
        <v>4653049.5360000003</v>
      </c>
      <c r="O35" s="70">
        <f t="shared" si="17"/>
        <v>5540768.5824000007</v>
      </c>
      <c r="P35" s="70">
        <f t="shared" si="17"/>
        <v>6339715.7241600007</v>
      </c>
      <c r="Q35" s="70">
        <f t="shared" si="17"/>
        <v>7058768.1517440006</v>
      </c>
    </row>
    <row r="36" spans="1:17" ht="15.75" customHeight="1">
      <c r="A36" s="68" t="s">
        <v>181</v>
      </c>
      <c r="B36" s="68"/>
      <c r="C36" s="70">
        <f t="shared" ref="C36:I36" si="18">C33-C34</f>
        <v>13101331.392000001</v>
      </c>
      <c r="D36" s="70">
        <f t="shared" si="18"/>
        <v>12672422.784000002</v>
      </c>
      <c r="E36" s="70">
        <f t="shared" si="18"/>
        <v>12243514.176000003</v>
      </c>
      <c r="F36" s="70">
        <f t="shared" si="18"/>
        <v>11814605.568000004</v>
      </c>
      <c r="G36" s="70">
        <f t="shared" si="18"/>
        <v>11385696.960000005</v>
      </c>
      <c r="H36" s="70">
        <f t="shared" si="18"/>
        <v>10956788.352000006</v>
      </c>
      <c r="I36" s="70">
        <f t="shared" si="18"/>
        <v>10527879.744000006</v>
      </c>
      <c r="J36" s="57"/>
      <c r="K36" s="70">
        <f t="shared" ref="K36:Q36" si="19">K33-K34</f>
        <v>12177216</v>
      </c>
      <c r="L36" s="70">
        <f t="shared" si="19"/>
        <v>10959494.4</v>
      </c>
      <c r="M36" s="70">
        <f t="shared" si="19"/>
        <v>9863544.9600000009</v>
      </c>
      <c r="N36" s="70">
        <f t="shared" si="19"/>
        <v>8877190.4640000015</v>
      </c>
      <c r="O36" s="70">
        <f t="shared" si="19"/>
        <v>7989471.4176000012</v>
      </c>
      <c r="P36" s="70">
        <f t="shared" si="19"/>
        <v>7190524.2758400012</v>
      </c>
      <c r="Q36" s="70">
        <f t="shared" si="19"/>
        <v>6471471.8482560012</v>
      </c>
    </row>
    <row r="37" spans="1:17" ht="15.75" customHeight="1">
      <c r="A37" s="68"/>
      <c r="B37" s="68"/>
      <c r="C37" s="70"/>
      <c r="D37" s="70"/>
      <c r="E37" s="70"/>
      <c r="F37" s="70"/>
      <c r="G37" s="70"/>
      <c r="H37" s="70"/>
      <c r="I37" s="70"/>
      <c r="J37" s="57"/>
      <c r="K37" s="70"/>
      <c r="L37" s="70"/>
      <c r="M37" s="70"/>
      <c r="N37" s="70"/>
      <c r="O37" s="70"/>
      <c r="P37" s="70"/>
      <c r="Q37" s="70"/>
    </row>
    <row r="38" spans="1:17" ht="15.75" customHeight="1">
      <c r="A38" s="69" t="s">
        <v>182</v>
      </c>
      <c r="B38" s="69"/>
      <c r="C38" s="70"/>
      <c r="D38" s="70"/>
      <c r="E38" s="70"/>
      <c r="F38" s="70"/>
      <c r="G38" s="70"/>
      <c r="H38" s="70"/>
      <c r="I38" s="70"/>
      <c r="J38" s="57"/>
      <c r="K38" s="70"/>
      <c r="L38" s="70"/>
      <c r="M38" s="70"/>
      <c r="N38" s="70"/>
      <c r="O38" s="70"/>
      <c r="P38" s="70"/>
      <c r="Q38" s="70"/>
    </row>
    <row r="39" spans="1:17" ht="15.75" customHeight="1">
      <c r="A39" s="68" t="s">
        <v>178</v>
      </c>
      <c r="B39" s="68"/>
      <c r="C39" s="70">
        <f>'1.Project Cost and MOF'!D6</f>
        <v>18719960</v>
      </c>
      <c r="D39" s="70">
        <f t="shared" ref="D39:I39" si="20">C42</f>
        <v>17534986.532000002</v>
      </c>
      <c r="E39" s="70">
        <f t="shared" si="20"/>
        <v>16350013.064000001</v>
      </c>
      <c r="F39" s="70">
        <f t="shared" si="20"/>
        <v>15165039.596000001</v>
      </c>
      <c r="G39" s="70">
        <f t="shared" si="20"/>
        <v>13980066.128</v>
      </c>
      <c r="H39" s="70">
        <f t="shared" si="20"/>
        <v>12795092.66</v>
      </c>
      <c r="I39" s="70">
        <f t="shared" si="20"/>
        <v>11610119.192</v>
      </c>
      <c r="J39" s="57"/>
      <c r="K39" s="70">
        <f>C39</f>
        <v>18719960</v>
      </c>
      <c r="L39" s="70">
        <f t="shared" ref="L39:Q39" si="21">K42</f>
        <v>15911966</v>
      </c>
      <c r="M39" s="70">
        <f t="shared" si="21"/>
        <v>13525171.1</v>
      </c>
      <c r="N39" s="70">
        <f t="shared" si="21"/>
        <v>11496395.435000001</v>
      </c>
      <c r="O39" s="70">
        <f t="shared" si="21"/>
        <v>9771936.1197500005</v>
      </c>
      <c r="P39" s="70">
        <f t="shared" si="21"/>
        <v>8306145.7017875006</v>
      </c>
      <c r="Q39" s="70">
        <f t="shared" si="21"/>
        <v>7060223.8465193752</v>
      </c>
    </row>
    <row r="40" spans="1:17" ht="15.75" customHeight="1">
      <c r="A40" s="68" t="s">
        <v>179</v>
      </c>
      <c r="B40" s="68"/>
      <c r="C40" s="70">
        <f t="shared" ref="C40:I40" si="22">$C$39*$B$74</f>
        <v>1184973.4679999999</v>
      </c>
      <c r="D40" s="70">
        <f t="shared" si="22"/>
        <v>1184973.4679999999</v>
      </c>
      <c r="E40" s="70">
        <f t="shared" si="22"/>
        <v>1184973.4679999999</v>
      </c>
      <c r="F40" s="70">
        <f t="shared" si="22"/>
        <v>1184973.4679999999</v>
      </c>
      <c r="G40" s="70">
        <f t="shared" si="22"/>
        <v>1184973.4679999999</v>
      </c>
      <c r="H40" s="70">
        <f t="shared" si="22"/>
        <v>1184973.4679999999</v>
      </c>
      <c r="I40" s="70">
        <f t="shared" si="22"/>
        <v>1184973.4679999999</v>
      </c>
      <c r="J40" s="57"/>
      <c r="K40" s="70">
        <f t="shared" ref="K40:Q40" si="23">K39*$C$74</f>
        <v>2807994</v>
      </c>
      <c r="L40" s="70">
        <f t="shared" si="23"/>
        <v>2386794.9</v>
      </c>
      <c r="M40" s="70">
        <f t="shared" si="23"/>
        <v>2028775.6649999998</v>
      </c>
      <c r="N40" s="70">
        <f t="shared" si="23"/>
        <v>1724459.31525</v>
      </c>
      <c r="O40" s="70">
        <f t="shared" si="23"/>
        <v>1465790.4179625001</v>
      </c>
      <c r="P40" s="70">
        <f t="shared" si="23"/>
        <v>1245921.855268125</v>
      </c>
      <c r="Q40" s="70">
        <f t="shared" si="23"/>
        <v>1059033.5769779063</v>
      </c>
    </row>
    <row r="41" spans="1:17" ht="15.75" customHeight="1">
      <c r="A41" s="68" t="s">
        <v>180</v>
      </c>
      <c r="B41" s="68"/>
      <c r="C41" s="70">
        <f>C40</f>
        <v>1184973.4679999999</v>
      </c>
      <c r="D41" s="70">
        <f t="shared" ref="D41:I41" si="24">C41+D40</f>
        <v>2369946.9359999998</v>
      </c>
      <c r="E41" s="70">
        <f t="shared" si="24"/>
        <v>3554920.4039999996</v>
      </c>
      <c r="F41" s="70">
        <f t="shared" si="24"/>
        <v>4739893.8719999995</v>
      </c>
      <c r="G41" s="70">
        <f t="shared" si="24"/>
        <v>5924867.3399999999</v>
      </c>
      <c r="H41" s="70">
        <f t="shared" si="24"/>
        <v>7109840.8080000002</v>
      </c>
      <c r="I41" s="70">
        <f t="shared" si="24"/>
        <v>8294814.2760000005</v>
      </c>
      <c r="J41" s="57"/>
      <c r="K41" s="70">
        <f>K40</f>
        <v>2807994</v>
      </c>
      <c r="L41" s="70">
        <f t="shared" ref="L41:Q41" si="25">K41+L40</f>
        <v>5194788.9000000004</v>
      </c>
      <c r="M41" s="70">
        <f t="shared" si="25"/>
        <v>7223564.5650000004</v>
      </c>
      <c r="N41" s="70">
        <f t="shared" si="25"/>
        <v>8948023.8802499995</v>
      </c>
      <c r="O41" s="70">
        <f t="shared" si="25"/>
        <v>10413814.2982125</v>
      </c>
      <c r="P41" s="70">
        <f t="shared" si="25"/>
        <v>11659736.153480625</v>
      </c>
      <c r="Q41" s="70">
        <f t="shared" si="25"/>
        <v>12718769.730458532</v>
      </c>
    </row>
    <row r="42" spans="1:17" ht="15.75" customHeight="1">
      <c r="A42" s="68" t="s">
        <v>181</v>
      </c>
      <c r="B42" s="68"/>
      <c r="C42" s="70">
        <f t="shared" ref="C42:I42" si="26">C39-C40</f>
        <v>17534986.532000002</v>
      </c>
      <c r="D42" s="70">
        <f t="shared" si="26"/>
        <v>16350013.064000001</v>
      </c>
      <c r="E42" s="70">
        <f t="shared" si="26"/>
        <v>15165039.596000001</v>
      </c>
      <c r="F42" s="70">
        <f t="shared" si="26"/>
        <v>13980066.128</v>
      </c>
      <c r="G42" s="70">
        <f t="shared" si="26"/>
        <v>12795092.66</v>
      </c>
      <c r="H42" s="70">
        <f t="shared" si="26"/>
        <v>11610119.192</v>
      </c>
      <c r="I42" s="70">
        <f t="shared" si="26"/>
        <v>10425145.723999999</v>
      </c>
      <c r="J42" s="57"/>
      <c r="K42" s="70">
        <f t="shared" ref="K42:Q42" si="27">K39-K40</f>
        <v>15911966</v>
      </c>
      <c r="L42" s="70">
        <f t="shared" si="27"/>
        <v>13525171.1</v>
      </c>
      <c r="M42" s="70">
        <f t="shared" si="27"/>
        <v>11496395.435000001</v>
      </c>
      <c r="N42" s="70">
        <f t="shared" si="27"/>
        <v>9771936.1197500005</v>
      </c>
      <c r="O42" s="70">
        <f t="shared" si="27"/>
        <v>8306145.7017875006</v>
      </c>
      <c r="P42" s="70">
        <f t="shared" si="27"/>
        <v>7060223.8465193752</v>
      </c>
      <c r="Q42" s="70">
        <f t="shared" si="27"/>
        <v>6001190.2695414685</v>
      </c>
    </row>
    <row r="43" spans="1:17" ht="15.75" customHeight="1">
      <c r="A43" s="68"/>
      <c r="B43" s="68"/>
      <c r="C43" s="70"/>
      <c r="D43" s="70"/>
      <c r="E43" s="70"/>
      <c r="F43" s="70"/>
      <c r="G43" s="70"/>
      <c r="H43" s="70"/>
      <c r="I43" s="70"/>
      <c r="J43" s="57"/>
      <c r="K43" s="70"/>
      <c r="L43" s="70"/>
      <c r="M43" s="70"/>
      <c r="N43" s="70"/>
      <c r="O43" s="70"/>
      <c r="P43" s="70"/>
      <c r="Q43" s="70"/>
    </row>
    <row r="44" spans="1:17" ht="15.75" customHeight="1">
      <c r="A44" s="69" t="s">
        <v>183</v>
      </c>
      <c r="B44" s="69"/>
      <c r="C44" s="70"/>
      <c r="D44" s="70"/>
      <c r="E44" s="70"/>
      <c r="F44" s="70"/>
      <c r="G44" s="70"/>
      <c r="H44" s="70"/>
      <c r="I44" s="70"/>
      <c r="J44" s="57"/>
      <c r="K44" s="70"/>
      <c r="L44" s="70"/>
      <c r="M44" s="70"/>
      <c r="N44" s="70"/>
      <c r="O44" s="70"/>
      <c r="P44" s="70"/>
      <c r="Q44" s="70"/>
    </row>
    <row r="45" spans="1:17" ht="15.75" customHeight="1">
      <c r="A45" s="68" t="s">
        <v>178</v>
      </c>
      <c r="B45" s="68"/>
      <c r="C45" s="70">
        <f>'1.Project Cost and MOF'!D7</f>
        <v>1200000</v>
      </c>
      <c r="D45" s="70">
        <f t="shared" ref="D45:I45" si="28">C48</f>
        <v>1080000</v>
      </c>
      <c r="E45" s="70">
        <f t="shared" si="28"/>
        <v>960000</v>
      </c>
      <c r="F45" s="70">
        <f t="shared" si="28"/>
        <v>840000</v>
      </c>
      <c r="G45" s="70">
        <f t="shared" si="28"/>
        <v>720000</v>
      </c>
      <c r="H45" s="70">
        <f t="shared" si="28"/>
        <v>600000</v>
      </c>
      <c r="I45" s="70">
        <f t="shared" si="28"/>
        <v>480000</v>
      </c>
      <c r="J45" s="57"/>
      <c r="K45" s="70">
        <f>C45</f>
        <v>1200000</v>
      </c>
      <c r="L45" s="70">
        <f t="shared" ref="L45:Q45" si="29">K48</f>
        <v>1080000</v>
      </c>
      <c r="M45" s="70">
        <f t="shared" si="29"/>
        <v>972000</v>
      </c>
      <c r="N45" s="70">
        <f t="shared" si="29"/>
        <v>874800</v>
      </c>
      <c r="O45" s="70">
        <f t="shared" si="29"/>
        <v>787320</v>
      </c>
      <c r="P45" s="70">
        <f t="shared" si="29"/>
        <v>708588</v>
      </c>
      <c r="Q45" s="70">
        <f t="shared" si="29"/>
        <v>637729.19999999995</v>
      </c>
    </row>
    <row r="46" spans="1:17" ht="15.75" customHeight="1">
      <c r="A46" s="68" t="s">
        <v>179</v>
      </c>
      <c r="B46" s="68"/>
      <c r="C46" s="70">
        <f t="shared" ref="C46:I46" si="30">$C$45*$B$71</f>
        <v>120000</v>
      </c>
      <c r="D46" s="70">
        <f t="shared" si="30"/>
        <v>120000</v>
      </c>
      <c r="E46" s="70">
        <f t="shared" si="30"/>
        <v>120000</v>
      </c>
      <c r="F46" s="70">
        <f t="shared" si="30"/>
        <v>120000</v>
      </c>
      <c r="G46" s="70">
        <f t="shared" si="30"/>
        <v>120000</v>
      </c>
      <c r="H46" s="70">
        <f t="shared" si="30"/>
        <v>120000</v>
      </c>
      <c r="I46" s="70">
        <f t="shared" si="30"/>
        <v>120000</v>
      </c>
      <c r="J46" s="57"/>
      <c r="K46" s="70">
        <f t="shared" ref="K46:Q46" si="31">K45*$C$71</f>
        <v>120000</v>
      </c>
      <c r="L46" s="70">
        <f t="shared" si="31"/>
        <v>108000</v>
      </c>
      <c r="M46" s="70">
        <f t="shared" si="31"/>
        <v>97200</v>
      </c>
      <c r="N46" s="70">
        <f t="shared" si="31"/>
        <v>87480</v>
      </c>
      <c r="O46" s="70">
        <f t="shared" si="31"/>
        <v>78732</v>
      </c>
      <c r="P46" s="70">
        <f t="shared" si="31"/>
        <v>70858.8</v>
      </c>
      <c r="Q46" s="70">
        <f t="shared" si="31"/>
        <v>63772.92</v>
      </c>
    </row>
    <row r="47" spans="1:17" ht="15.75" customHeight="1">
      <c r="A47" s="68" t="s">
        <v>180</v>
      </c>
      <c r="B47" s="68"/>
      <c r="C47" s="70">
        <f>C46</f>
        <v>120000</v>
      </c>
      <c r="D47" s="70">
        <f t="shared" ref="D47:I47" si="32">C47+D46</f>
        <v>240000</v>
      </c>
      <c r="E47" s="70">
        <f t="shared" si="32"/>
        <v>360000</v>
      </c>
      <c r="F47" s="70">
        <f t="shared" si="32"/>
        <v>480000</v>
      </c>
      <c r="G47" s="70">
        <f t="shared" si="32"/>
        <v>600000</v>
      </c>
      <c r="H47" s="70">
        <f t="shared" si="32"/>
        <v>720000</v>
      </c>
      <c r="I47" s="70">
        <f t="shared" si="32"/>
        <v>840000</v>
      </c>
      <c r="J47" s="57"/>
      <c r="K47" s="70">
        <f>K46</f>
        <v>120000</v>
      </c>
      <c r="L47" s="70">
        <f t="shared" ref="L47:Q47" si="33">K47+L46</f>
        <v>228000</v>
      </c>
      <c r="M47" s="70">
        <f t="shared" si="33"/>
        <v>325200</v>
      </c>
      <c r="N47" s="70">
        <f t="shared" si="33"/>
        <v>412680</v>
      </c>
      <c r="O47" s="70">
        <f t="shared" si="33"/>
        <v>491412</v>
      </c>
      <c r="P47" s="70">
        <f t="shared" si="33"/>
        <v>562270.80000000005</v>
      </c>
      <c r="Q47" s="70">
        <f t="shared" si="33"/>
        <v>626043.72000000009</v>
      </c>
    </row>
    <row r="48" spans="1:17" ht="15.75" customHeight="1">
      <c r="A48" s="68" t="s">
        <v>181</v>
      </c>
      <c r="B48" s="68"/>
      <c r="C48" s="70">
        <f t="shared" ref="C48:I48" si="34">C45-C46</f>
        <v>1080000</v>
      </c>
      <c r="D48" s="70">
        <f t="shared" si="34"/>
        <v>960000</v>
      </c>
      <c r="E48" s="70">
        <f t="shared" si="34"/>
        <v>840000</v>
      </c>
      <c r="F48" s="70">
        <f t="shared" si="34"/>
        <v>720000</v>
      </c>
      <c r="G48" s="70">
        <f t="shared" si="34"/>
        <v>600000</v>
      </c>
      <c r="H48" s="70">
        <f t="shared" si="34"/>
        <v>480000</v>
      </c>
      <c r="I48" s="70">
        <f t="shared" si="34"/>
        <v>360000</v>
      </c>
      <c r="J48" s="57"/>
      <c r="K48" s="70">
        <f t="shared" ref="K48:Q48" si="35">K45-K46</f>
        <v>1080000</v>
      </c>
      <c r="L48" s="70">
        <f t="shared" si="35"/>
        <v>972000</v>
      </c>
      <c r="M48" s="70">
        <f t="shared" si="35"/>
        <v>874800</v>
      </c>
      <c r="N48" s="70">
        <f t="shared" si="35"/>
        <v>787320</v>
      </c>
      <c r="O48" s="70">
        <f t="shared" si="35"/>
        <v>708588</v>
      </c>
      <c r="P48" s="70">
        <f t="shared" si="35"/>
        <v>637729.19999999995</v>
      </c>
      <c r="Q48" s="70">
        <f t="shared" si="35"/>
        <v>573956.27999999991</v>
      </c>
    </row>
    <row r="49" spans="1:17" ht="15.75" customHeight="1">
      <c r="A49" s="68"/>
      <c r="B49" s="68"/>
      <c r="C49" s="70"/>
      <c r="D49" s="70"/>
      <c r="E49" s="70"/>
      <c r="F49" s="70"/>
      <c r="G49" s="70"/>
      <c r="H49" s="70"/>
      <c r="I49" s="70"/>
      <c r="J49" s="57"/>
      <c r="K49" s="70"/>
      <c r="L49" s="70"/>
      <c r="M49" s="70"/>
      <c r="N49" s="70"/>
      <c r="O49" s="70"/>
      <c r="P49" s="70"/>
      <c r="Q49" s="70"/>
    </row>
    <row r="50" spans="1:17" ht="15.75" hidden="1" customHeight="1">
      <c r="A50" s="69" t="s">
        <v>184</v>
      </c>
      <c r="B50" s="69"/>
      <c r="C50" s="70"/>
      <c r="D50" s="70"/>
      <c r="E50" s="70"/>
      <c r="F50" s="70"/>
      <c r="G50" s="70"/>
      <c r="H50" s="70"/>
      <c r="I50" s="70"/>
      <c r="J50" s="57"/>
      <c r="K50" s="70"/>
      <c r="L50" s="70"/>
      <c r="M50" s="70"/>
      <c r="N50" s="70"/>
      <c r="O50" s="70"/>
      <c r="P50" s="70"/>
      <c r="Q50" s="70"/>
    </row>
    <row r="51" spans="1:17" ht="15.75" hidden="1" customHeight="1">
      <c r="A51" s="68" t="s">
        <v>178</v>
      </c>
      <c r="B51" s="68"/>
      <c r="C51" s="70">
        <f>'1.Project Cost and MOF'!D9</f>
        <v>0</v>
      </c>
      <c r="D51" s="70">
        <f t="shared" ref="D51:I51" si="36">C54</f>
        <v>0</v>
      </c>
      <c r="E51" s="70">
        <f t="shared" si="36"/>
        <v>0</v>
      </c>
      <c r="F51" s="70">
        <f t="shared" si="36"/>
        <v>0</v>
      </c>
      <c r="G51" s="70">
        <f t="shared" si="36"/>
        <v>0</v>
      </c>
      <c r="H51" s="70">
        <f t="shared" si="36"/>
        <v>0</v>
      </c>
      <c r="I51" s="70">
        <f t="shared" si="36"/>
        <v>0</v>
      </c>
      <c r="J51" s="57"/>
      <c r="K51" s="70">
        <f>C51</f>
        <v>0</v>
      </c>
      <c r="L51" s="70">
        <f t="shared" ref="L51:Q51" si="37">K54</f>
        <v>0</v>
      </c>
      <c r="M51" s="70">
        <f t="shared" si="37"/>
        <v>0</v>
      </c>
      <c r="N51" s="70">
        <f t="shared" si="37"/>
        <v>0</v>
      </c>
      <c r="O51" s="70">
        <f t="shared" si="37"/>
        <v>0</v>
      </c>
      <c r="P51" s="70">
        <f t="shared" si="37"/>
        <v>0</v>
      </c>
      <c r="Q51" s="70">
        <f t="shared" si="37"/>
        <v>0</v>
      </c>
    </row>
    <row r="52" spans="1:17" ht="15.75" hidden="1" customHeight="1">
      <c r="A52" s="68" t="s">
        <v>179</v>
      </c>
      <c r="B52" s="68"/>
      <c r="C52" s="70">
        <f t="shared" ref="C52:I52" si="38">$C$51*$B$73</f>
        <v>0</v>
      </c>
      <c r="D52" s="70">
        <f t="shared" si="38"/>
        <v>0</v>
      </c>
      <c r="E52" s="70">
        <f t="shared" si="38"/>
        <v>0</v>
      </c>
      <c r="F52" s="70">
        <f t="shared" si="38"/>
        <v>0</v>
      </c>
      <c r="G52" s="70">
        <f t="shared" si="38"/>
        <v>0</v>
      </c>
      <c r="H52" s="70">
        <f t="shared" si="38"/>
        <v>0</v>
      </c>
      <c r="I52" s="70">
        <f t="shared" si="38"/>
        <v>0</v>
      </c>
      <c r="J52" s="57"/>
      <c r="K52" s="70">
        <f t="shared" ref="K52:Q52" si="39">K51*$C$73</f>
        <v>0</v>
      </c>
      <c r="L52" s="70">
        <f t="shared" si="39"/>
        <v>0</v>
      </c>
      <c r="M52" s="70">
        <f t="shared" si="39"/>
        <v>0</v>
      </c>
      <c r="N52" s="70">
        <f t="shared" si="39"/>
        <v>0</v>
      </c>
      <c r="O52" s="70">
        <f t="shared" si="39"/>
        <v>0</v>
      </c>
      <c r="P52" s="70">
        <f t="shared" si="39"/>
        <v>0</v>
      </c>
      <c r="Q52" s="70">
        <f t="shared" si="39"/>
        <v>0</v>
      </c>
    </row>
    <row r="53" spans="1:17" ht="15.75" hidden="1" customHeight="1">
      <c r="A53" s="68" t="s">
        <v>180</v>
      </c>
      <c r="B53" s="68"/>
      <c r="C53" s="70">
        <f>C52</f>
        <v>0</v>
      </c>
      <c r="D53" s="70">
        <f t="shared" ref="D53:I53" si="40">C53+D52</f>
        <v>0</v>
      </c>
      <c r="E53" s="70">
        <f t="shared" si="40"/>
        <v>0</v>
      </c>
      <c r="F53" s="70">
        <f t="shared" si="40"/>
        <v>0</v>
      </c>
      <c r="G53" s="70">
        <f t="shared" si="40"/>
        <v>0</v>
      </c>
      <c r="H53" s="70">
        <f t="shared" si="40"/>
        <v>0</v>
      </c>
      <c r="I53" s="70">
        <f t="shared" si="40"/>
        <v>0</v>
      </c>
      <c r="J53" s="57"/>
      <c r="K53" s="70">
        <f>K52</f>
        <v>0</v>
      </c>
      <c r="L53" s="70">
        <f t="shared" ref="L53:Q53" si="41">K53+L52</f>
        <v>0</v>
      </c>
      <c r="M53" s="70">
        <f t="shared" si="41"/>
        <v>0</v>
      </c>
      <c r="N53" s="70">
        <f t="shared" si="41"/>
        <v>0</v>
      </c>
      <c r="O53" s="70">
        <f t="shared" si="41"/>
        <v>0</v>
      </c>
      <c r="P53" s="70">
        <f t="shared" si="41"/>
        <v>0</v>
      </c>
      <c r="Q53" s="70">
        <f t="shared" si="41"/>
        <v>0</v>
      </c>
    </row>
    <row r="54" spans="1:17" ht="15.75" hidden="1" customHeight="1">
      <c r="A54" s="68" t="s">
        <v>181</v>
      </c>
      <c r="B54" s="68"/>
      <c r="C54" s="70">
        <f t="shared" ref="C54:I54" si="42">C51-C52</f>
        <v>0</v>
      </c>
      <c r="D54" s="70">
        <f t="shared" si="42"/>
        <v>0</v>
      </c>
      <c r="E54" s="70">
        <f t="shared" si="42"/>
        <v>0</v>
      </c>
      <c r="F54" s="70">
        <f t="shared" si="42"/>
        <v>0</v>
      </c>
      <c r="G54" s="70">
        <f t="shared" si="42"/>
        <v>0</v>
      </c>
      <c r="H54" s="70">
        <f t="shared" si="42"/>
        <v>0</v>
      </c>
      <c r="I54" s="70">
        <f t="shared" si="42"/>
        <v>0</v>
      </c>
      <c r="J54" s="57"/>
      <c r="K54" s="70">
        <f t="shared" ref="K54:Q54" si="43">K51-K52</f>
        <v>0</v>
      </c>
      <c r="L54" s="70">
        <f t="shared" si="43"/>
        <v>0</v>
      </c>
      <c r="M54" s="70">
        <f t="shared" si="43"/>
        <v>0</v>
      </c>
      <c r="N54" s="70">
        <f t="shared" si="43"/>
        <v>0</v>
      </c>
      <c r="O54" s="70">
        <f t="shared" si="43"/>
        <v>0</v>
      </c>
      <c r="P54" s="70">
        <f t="shared" si="43"/>
        <v>0</v>
      </c>
      <c r="Q54" s="70">
        <f t="shared" si="43"/>
        <v>0</v>
      </c>
    </row>
    <row r="55" spans="1:17" ht="15.75" hidden="1" customHeight="1">
      <c r="A55" s="68"/>
      <c r="B55" s="68"/>
      <c r="C55" s="70"/>
      <c r="D55" s="70"/>
      <c r="E55" s="70"/>
      <c r="F55" s="70"/>
      <c r="G55" s="70"/>
      <c r="H55" s="70"/>
      <c r="I55" s="70"/>
      <c r="J55" s="57"/>
      <c r="K55" s="70"/>
      <c r="L55" s="70"/>
      <c r="M55" s="70"/>
      <c r="N55" s="70"/>
      <c r="O55" s="70"/>
      <c r="P55" s="70"/>
      <c r="Q55" s="70"/>
    </row>
    <row r="56" spans="1:17" ht="15.75" customHeight="1">
      <c r="A56" s="69" t="s">
        <v>185</v>
      </c>
      <c r="B56" s="68"/>
      <c r="C56" s="70"/>
      <c r="D56" s="70"/>
      <c r="E56" s="70"/>
      <c r="F56" s="70"/>
      <c r="G56" s="70"/>
      <c r="H56" s="70"/>
      <c r="I56" s="70"/>
      <c r="J56" s="57"/>
      <c r="K56" s="70"/>
      <c r="L56" s="70"/>
      <c r="M56" s="70"/>
      <c r="N56" s="70"/>
      <c r="O56" s="70"/>
      <c r="P56" s="70"/>
      <c r="Q56" s="70"/>
    </row>
    <row r="57" spans="1:17" ht="15.75" customHeight="1">
      <c r="A57" s="68" t="str">
        <f t="shared" ref="A57:A60" si="44">A51</f>
        <v>Asset Value</v>
      </c>
      <c r="B57" s="68"/>
      <c r="C57" s="70">
        <f>'1.Project Cost and MOF'!D8</f>
        <v>107026</v>
      </c>
      <c r="D57" s="70">
        <f t="shared" ref="D57:I57" si="45">C60</f>
        <v>96323.4</v>
      </c>
      <c r="E57" s="70">
        <f t="shared" si="45"/>
        <v>85620.799999999988</v>
      </c>
      <c r="F57" s="70">
        <f t="shared" si="45"/>
        <v>74918.199999999983</v>
      </c>
      <c r="G57" s="70">
        <f t="shared" si="45"/>
        <v>64215.599999999984</v>
      </c>
      <c r="H57" s="70">
        <f t="shared" si="45"/>
        <v>53512.999999999985</v>
      </c>
      <c r="I57" s="70">
        <f t="shared" si="45"/>
        <v>42810.399999999987</v>
      </c>
      <c r="J57" s="57"/>
      <c r="K57" s="70">
        <f>C57</f>
        <v>107026</v>
      </c>
      <c r="L57" s="70">
        <f t="shared" ref="L57:Q57" si="46">K60</f>
        <v>64215.6</v>
      </c>
      <c r="M57" s="70">
        <f t="shared" si="46"/>
        <v>38529.360000000001</v>
      </c>
      <c r="N57" s="70">
        <f t="shared" si="46"/>
        <v>23117.616000000002</v>
      </c>
      <c r="O57" s="70">
        <f t="shared" si="46"/>
        <v>13870.569600000001</v>
      </c>
      <c r="P57" s="70">
        <f t="shared" si="46"/>
        <v>8322.3417599999993</v>
      </c>
      <c r="Q57" s="70">
        <f t="shared" si="46"/>
        <v>4993.4050559999996</v>
      </c>
    </row>
    <row r="58" spans="1:17" ht="15.75" customHeight="1">
      <c r="A58" s="68" t="str">
        <f t="shared" si="44"/>
        <v>Depreciation</v>
      </c>
      <c r="B58" s="68"/>
      <c r="C58" s="70">
        <f t="shared" ref="C58:I58" si="47">$C$57*$B$72</f>
        <v>10702.6</v>
      </c>
      <c r="D58" s="70">
        <f t="shared" si="47"/>
        <v>10702.6</v>
      </c>
      <c r="E58" s="70">
        <f t="shared" si="47"/>
        <v>10702.6</v>
      </c>
      <c r="F58" s="70">
        <f t="shared" si="47"/>
        <v>10702.6</v>
      </c>
      <c r="G58" s="70">
        <f t="shared" si="47"/>
        <v>10702.6</v>
      </c>
      <c r="H58" s="70">
        <f t="shared" si="47"/>
        <v>10702.6</v>
      </c>
      <c r="I58" s="70">
        <f t="shared" si="47"/>
        <v>10702.6</v>
      </c>
      <c r="J58" s="57"/>
      <c r="K58" s="70">
        <f t="shared" ref="K58:Q58" si="48">K57*$C$72</f>
        <v>42810.400000000001</v>
      </c>
      <c r="L58" s="70">
        <f t="shared" si="48"/>
        <v>25686.240000000002</v>
      </c>
      <c r="M58" s="70">
        <f t="shared" si="48"/>
        <v>15411.744000000001</v>
      </c>
      <c r="N58" s="70">
        <f t="shared" si="48"/>
        <v>9247.0464000000011</v>
      </c>
      <c r="O58" s="70">
        <f t="shared" si="48"/>
        <v>5548.2278400000005</v>
      </c>
      <c r="P58" s="70">
        <f t="shared" si="48"/>
        <v>3328.9367039999997</v>
      </c>
      <c r="Q58" s="70">
        <f t="shared" si="48"/>
        <v>1997.3620223999999</v>
      </c>
    </row>
    <row r="59" spans="1:17" ht="15.75" customHeight="1">
      <c r="A59" s="68" t="str">
        <f t="shared" si="44"/>
        <v>Accumulated Depreciation</v>
      </c>
      <c r="B59" s="68"/>
      <c r="C59" s="70">
        <f>C58</f>
        <v>10702.6</v>
      </c>
      <c r="D59" s="70">
        <f t="shared" ref="D59:I59" si="49">D58+C59</f>
        <v>21405.200000000001</v>
      </c>
      <c r="E59" s="70">
        <f t="shared" si="49"/>
        <v>32107.800000000003</v>
      </c>
      <c r="F59" s="70">
        <f t="shared" si="49"/>
        <v>42810.400000000001</v>
      </c>
      <c r="G59" s="70">
        <f t="shared" si="49"/>
        <v>53513</v>
      </c>
      <c r="H59" s="70">
        <f t="shared" si="49"/>
        <v>64215.6</v>
      </c>
      <c r="I59" s="70">
        <f t="shared" si="49"/>
        <v>74918.2</v>
      </c>
      <c r="J59" s="57"/>
      <c r="K59" s="70">
        <f>K58</f>
        <v>42810.400000000001</v>
      </c>
      <c r="L59" s="70">
        <f t="shared" ref="L59:Q59" si="50">L58+K59</f>
        <v>68496.639999999999</v>
      </c>
      <c r="M59" s="70">
        <f t="shared" si="50"/>
        <v>83908.384000000005</v>
      </c>
      <c r="N59" s="70">
        <f t="shared" si="50"/>
        <v>93155.430400000012</v>
      </c>
      <c r="O59" s="70">
        <f t="shared" si="50"/>
        <v>98703.658240000019</v>
      </c>
      <c r="P59" s="70">
        <f t="shared" si="50"/>
        <v>102032.59494400001</v>
      </c>
      <c r="Q59" s="70">
        <f t="shared" si="50"/>
        <v>104029.95696640002</v>
      </c>
    </row>
    <row r="60" spans="1:17" ht="15.75" customHeight="1">
      <c r="A60" s="68" t="str">
        <f t="shared" si="44"/>
        <v>Net Fixed Assets</v>
      </c>
      <c r="B60" s="68"/>
      <c r="C60" s="70">
        <f t="shared" ref="C60:I60" si="51">C57-C58</f>
        <v>96323.4</v>
      </c>
      <c r="D60" s="70">
        <f t="shared" si="51"/>
        <v>85620.799999999988</v>
      </c>
      <c r="E60" s="70">
        <f t="shared" si="51"/>
        <v>74918.199999999983</v>
      </c>
      <c r="F60" s="70">
        <f t="shared" si="51"/>
        <v>64215.599999999984</v>
      </c>
      <c r="G60" s="70">
        <f t="shared" si="51"/>
        <v>53512.999999999985</v>
      </c>
      <c r="H60" s="70">
        <f t="shared" si="51"/>
        <v>42810.399999999987</v>
      </c>
      <c r="I60" s="70">
        <f t="shared" si="51"/>
        <v>32107.799999999988</v>
      </c>
      <c r="J60" s="57"/>
      <c r="K60" s="70">
        <f t="shared" ref="K60:Q60" si="52">K57-K58</f>
        <v>64215.6</v>
      </c>
      <c r="L60" s="70">
        <f t="shared" si="52"/>
        <v>38529.360000000001</v>
      </c>
      <c r="M60" s="70">
        <f t="shared" si="52"/>
        <v>23117.616000000002</v>
      </c>
      <c r="N60" s="70">
        <f t="shared" si="52"/>
        <v>13870.569600000001</v>
      </c>
      <c r="O60" s="70">
        <f t="shared" si="52"/>
        <v>8322.3417599999993</v>
      </c>
      <c r="P60" s="70">
        <f t="shared" si="52"/>
        <v>4993.4050559999996</v>
      </c>
      <c r="Q60" s="70">
        <f t="shared" si="52"/>
        <v>2996.0430335999999</v>
      </c>
    </row>
    <row r="61" spans="1:17" ht="15.75" customHeight="1">
      <c r="A61" s="69" t="s">
        <v>186</v>
      </c>
      <c r="B61" s="69"/>
      <c r="C61" s="71">
        <f t="shared" ref="C61" si="53">C45+C39+C33+C51+C57</f>
        <v>33557226</v>
      </c>
      <c r="D61" s="71">
        <f>+C61</f>
        <v>33557226</v>
      </c>
      <c r="E61" s="71">
        <f t="shared" ref="E61:I61" si="54">+D61</f>
        <v>33557226</v>
      </c>
      <c r="F61" s="71">
        <f t="shared" si="54"/>
        <v>33557226</v>
      </c>
      <c r="G61" s="71">
        <f t="shared" si="54"/>
        <v>33557226</v>
      </c>
      <c r="H61" s="71">
        <f t="shared" si="54"/>
        <v>33557226</v>
      </c>
      <c r="I61" s="71">
        <f t="shared" si="54"/>
        <v>33557226</v>
      </c>
      <c r="J61" s="57"/>
      <c r="K61" s="71">
        <f t="shared" ref="K61" si="55">K45+K39+K33+K51+K57</f>
        <v>33557226</v>
      </c>
      <c r="L61" s="71">
        <f>+K61</f>
        <v>33557226</v>
      </c>
      <c r="M61" s="71">
        <f t="shared" ref="M61:Q61" si="56">+L61</f>
        <v>33557226</v>
      </c>
      <c r="N61" s="71">
        <f t="shared" si="56"/>
        <v>33557226</v>
      </c>
      <c r="O61" s="71">
        <f t="shared" si="56"/>
        <v>33557226</v>
      </c>
      <c r="P61" s="71">
        <f t="shared" si="56"/>
        <v>33557226</v>
      </c>
      <c r="Q61" s="71">
        <f t="shared" si="56"/>
        <v>33557226</v>
      </c>
    </row>
    <row r="62" spans="1:17" ht="15.75" customHeight="1">
      <c r="A62" s="69" t="s">
        <v>187</v>
      </c>
      <c r="B62" s="69"/>
      <c r="C62" s="71">
        <f t="shared" ref="C62:I62" si="57">C46+C40+C34+C52+C58</f>
        <v>1744584.676</v>
      </c>
      <c r="D62" s="71">
        <f t="shared" si="57"/>
        <v>1744584.676</v>
      </c>
      <c r="E62" s="71">
        <f t="shared" si="57"/>
        <v>1744584.676</v>
      </c>
      <c r="F62" s="71">
        <f t="shared" si="57"/>
        <v>1744584.676</v>
      </c>
      <c r="G62" s="71">
        <f t="shared" si="57"/>
        <v>1744584.676</v>
      </c>
      <c r="H62" s="71">
        <f t="shared" si="57"/>
        <v>1744584.676</v>
      </c>
      <c r="I62" s="71">
        <f t="shared" si="57"/>
        <v>1744584.676</v>
      </c>
      <c r="J62" s="57"/>
      <c r="K62" s="71">
        <f t="shared" ref="K62:Q62" si="58">K46+K40+K34+K52+K58</f>
        <v>4323828.4000000004</v>
      </c>
      <c r="L62" s="71">
        <f t="shared" si="58"/>
        <v>3738202.74</v>
      </c>
      <c r="M62" s="71">
        <f t="shared" si="58"/>
        <v>3237336.8490000004</v>
      </c>
      <c r="N62" s="71">
        <f t="shared" si="58"/>
        <v>2807540.8576500001</v>
      </c>
      <c r="O62" s="71">
        <f t="shared" si="58"/>
        <v>2437789.6922025001</v>
      </c>
      <c r="P62" s="71">
        <f t="shared" si="58"/>
        <v>2119056.7337321253</v>
      </c>
      <c r="Q62" s="71">
        <f t="shared" si="58"/>
        <v>1843856.2865843063</v>
      </c>
    </row>
    <row r="63" spans="1:17" ht="15.75" customHeight="1">
      <c r="A63" s="69" t="s">
        <v>188</v>
      </c>
      <c r="B63" s="69"/>
      <c r="C63" s="71">
        <f t="shared" ref="C63:I63" si="59">C47+C41+C35+C53+C59</f>
        <v>1744584.676</v>
      </c>
      <c r="D63" s="71">
        <f t="shared" si="59"/>
        <v>3489169.352</v>
      </c>
      <c r="E63" s="71">
        <f t="shared" si="59"/>
        <v>5233754.0279999999</v>
      </c>
      <c r="F63" s="71">
        <f t="shared" si="59"/>
        <v>6978338.7039999999</v>
      </c>
      <c r="G63" s="71">
        <f t="shared" si="59"/>
        <v>8722923.379999999</v>
      </c>
      <c r="H63" s="71">
        <f t="shared" si="59"/>
        <v>10467508.056</v>
      </c>
      <c r="I63" s="71">
        <f t="shared" si="59"/>
        <v>12212092.732000001</v>
      </c>
      <c r="J63" s="57"/>
      <c r="K63" s="71">
        <f t="shared" ref="K63:Q63" si="60">K47+K41+K35+K53+K59</f>
        <v>4323828.4000000004</v>
      </c>
      <c r="L63" s="71">
        <f t="shared" si="60"/>
        <v>8062031.1399999997</v>
      </c>
      <c r="M63" s="71">
        <f t="shared" si="60"/>
        <v>11299367.989</v>
      </c>
      <c r="N63" s="71">
        <f t="shared" si="60"/>
        <v>14106908.846650001</v>
      </c>
      <c r="O63" s="71">
        <f t="shared" si="60"/>
        <v>16544698.5388525</v>
      </c>
      <c r="P63" s="71">
        <f t="shared" si="60"/>
        <v>18663755.272584625</v>
      </c>
      <c r="Q63" s="71">
        <f t="shared" si="60"/>
        <v>20507611.559168935</v>
      </c>
    </row>
    <row r="64" spans="1:17" ht="15.75" customHeight="1">
      <c r="A64" s="69" t="s">
        <v>181</v>
      </c>
      <c r="B64" s="69"/>
      <c r="C64" s="71">
        <f t="shared" ref="C64" si="61">C48+C42+C36+C54+C60</f>
        <v>31812641.324000001</v>
      </c>
      <c r="D64" s="71">
        <f>+D61-D63</f>
        <v>30068056.648000002</v>
      </c>
      <c r="E64" s="71">
        <f t="shared" ref="E64:I64" si="62">+E61-E63</f>
        <v>28323471.971999999</v>
      </c>
      <c r="F64" s="71">
        <f t="shared" si="62"/>
        <v>26578887.296</v>
      </c>
      <c r="G64" s="71">
        <f t="shared" si="62"/>
        <v>24834302.620000001</v>
      </c>
      <c r="H64" s="71">
        <f t="shared" si="62"/>
        <v>23089717.943999998</v>
      </c>
      <c r="I64" s="71">
        <f t="shared" si="62"/>
        <v>21345133.267999999</v>
      </c>
      <c r="J64" s="57"/>
      <c r="K64" s="71">
        <f t="shared" ref="K64" si="63">K48+K42+K36+K54+K60</f>
        <v>29233397.600000001</v>
      </c>
      <c r="L64" s="71">
        <f>+L61-L63</f>
        <v>25495194.859999999</v>
      </c>
      <c r="M64" s="71">
        <f t="shared" ref="M64:Q64" si="64">+M61-M63</f>
        <v>22257858.011</v>
      </c>
      <c r="N64" s="71">
        <f t="shared" si="64"/>
        <v>19450317.153349999</v>
      </c>
      <c r="O64" s="71">
        <f t="shared" si="64"/>
        <v>17012527.461147502</v>
      </c>
      <c r="P64" s="71">
        <f t="shared" si="64"/>
        <v>14893470.727415375</v>
      </c>
      <c r="Q64" s="71">
        <f t="shared" si="64"/>
        <v>13049614.440831065</v>
      </c>
    </row>
    <row r="65" spans="1:17" ht="15.75" customHeight="1">
      <c r="A65" s="72"/>
      <c r="B65" s="72"/>
      <c r="C65" s="73"/>
      <c r="D65" s="73"/>
      <c r="E65" s="73"/>
      <c r="F65" s="73"/>
      <c r="G65" s="73"/>
      <c r="H65" s="73"/>
      <c r="I65" s="73"/>
      <c r="J65" s="52"/>
    </row>
    <row r="66" spans="1:17" ht="15.75" customHeight="1">
      <c r="A66" s="52"/>
      <c r="B66" s="52"/>
      <c r="C66" s="52"/>
      <c r="D66" s="52"/>
      <c r="E66" s="52"/>
      <c r="F66" s="52"/>
      <c r="G66" s="52"/>
      <c r="H66" s="52"/>
      <c r="I66" s="52"/>
      <c r="J66" s="52"/>
    </row>
    <row r="67" spans="1:17" ht="15.75" customHeight="1">
      <c r="A67" s="244" t="s">
        <v>189</v>
      </c>
      <c r="B67" s="74" t="s">
        <v>190</v>
      </c>
      <c r="C67" s="75" t="s">
        <v>191</v>
      </c>
      <c r="D67" s="52"/>
      <c r="E67" s="52"/>
      <c r="F67" s="52"/>
      <c r="G67" s="52"/>
      <c r="H67" s="52"/>
      <c r="I67" s="52"/>
      <c r="J67" s="52"/>
    </row>
    <row r="68" spans="1:17" ht="15.75" customHeight="1">
      <c r="A68" s="76" t="s">
        <v>192</v>
      </c>
      <c r="B68" s="74" t="s">
        <v>193</v>
      </c>
      <c r="C68" s="75" t="s">
        <v>194</v>
      </c>
      <c r="D68" s="52"/>
      <c r="E68" s="52"/>
      <c r="F68" s="52"/>
      <c r="G68" s="52"/>
      <c r="H68" s="52"/>
      <c r="I68" s="52"/>
      <c r="J68" s="52"/>
    </row>
    <row r="69" spans="1:17" ht="15.75" customHeight="1">
      <c r="A69" s="76" t="s">
        <v>125</v>
      </c>
      <c r="B69" s="54">
        <v>0</v>
      </c>
      <c r="C69" s="54">
        <v>0</v>
      </c>
      <c r="D69" s="52"/>
      <c r="E69" s="52"/>
      <c r="F69" s="52"/>
      <c r="G69" s="52"/>
      <c r="H69" s="52"/>
      <c r="I69" s="52"/>
      <c r="J69" s="52"/>
    </row>
    <row r="70" spans="1:17" ht="15.75" customHeight="1">
      <c r="A70" s="77" t="s">
        <v>177</v>
      </c>
      <c r="B70" s="54">
        <v>3.1699999999999999E-2</v>
      </c>
      <c r="C70" s="54">
        <v>0.1</v>
      </c>
      <c r="D70" s="53"/>
      <c r="E70" s="52"/>
      <c r="F70" s="52"/>
      <c r="G70" s="52"/>
      <c r="H70" s="52"/>
      <c r="I70" s="52"/>
      <c r="J70" s="52"/>
    </row>
    <row r="71" spans="1:17" ht="15.75" customHeight="1">
      <c r="A71" s="77" t="s">
        <v>183</v>
      </c>
      <c r="B71" s="54">
        <v>0.1</v>
      </c>
      <c r="C71" s="54">
        <v>0.1</v>
      </c>
      <c r="D71" s="52"/>
      <c r="E71" s="52"/>
      <c r="F71" s="52"/>
      <c r="G71" s="52"/>
      <c r="H71" s="52"/>
      <c r="I71" s="52"/>
      <c r="J71" s="52"/>
    </row>
    <row r="72" spans="1:17" ht="15.75" customHeight="1">
      <c r="A72" s="52" t="s">
        <v>195</v>
      </c>
      <c r="B72" s="54">
        <v>0.1</v>
      </c>
      <c r="C72" s="54">
        <v>0.4</v>
      </c>
      <c r="D72" s="52"/>
      <c r="E72" s="52"/>
      <c r="F72" s="52"/>
      <c r="G72" s="52"/>
      <c r="H72" s="52"/>
      <c r="I72" s="52"/>
      <c r="J72" s="52"/>
    </row>
    <row r="73" spans="1:17" ht="15.75" customHeight="1">
      <c r="A73" s="52" t="s">
        <v>196</v>
      </c>
      <c r="B73" s="54">
        <v>0.1188</v>
      </c>
      <c r="C73" s="54">
        <v>0.15</v>
      </c>
      <c r="D73" s="52"/>
      <c r="E73" s="52"/>
      <c r="F73" s="52"/>
      <c r="G73" s="52"/>
      <c r="H73" s="52"/>
      <c r="I73" s="52"/>
      <c r="J73" s="52"/>
    </row>
    <row r="74" spans="1:17" ht="15.75" customHeight="1">
      <c r="A74" s="77" t="s">
        <v>197</v>
      </c>
      <c r="B74" s="54">
        <v>6.3299999999999995E-2</v>
      </c>
      <c r="C74" s="54">
        <v>0.15</v>
      </c>
      <c r="D74" s="52"/>
      <c r="E74" s="52"/>
      <c r="F74" s="52"/>
      <c r="G74" s="52"/>
      <c r="H74" s="52"/>
      <c r="I74" s="52"/>
      <c r="J74" s="52"/>
    </row>
    <row r="75" spans="1:17" ht="15.75" customHeight="1">
      <c r="A75" s="76" t="s">
        <v>189</v>
      </c>
      <c r="B75" s="54"/>
      <c r="C75" s="53"/>
      <c r="D75" s="52"/>
      <c r="E75" s="52"/>
      <c r="F75" s="52"/>
      <c r="G75" s="52"/>
      <c r="H75" s="52"/>
      <c r="I75" s="52"/>
      <c r="J75" s="52"/>
    </row>
    <row r="76" spans="1:17" ht="15.75" customHeight="1">
      <c r="A76" s="77" t="s">
        <v>198</v>
      </c>
      <c r="B76" s="53">
        <v>0.2</v>
      </c>
      <c r="C76" s="53">
        <v>0.2</v>
      </c>
      <c r="D76" s="52"/>
      <c r="E76" s="52"/>
      <c r="F76" s="52"/>
      <c r="G76" s="52"/>
      <c r="H76" s="52"/>
      <c r="I76" s="52"/>
      <c r="J76" s="52"/>
    </row>
    <row r="77" spans="1:17" ht="15.75" customHeight="1">
      <c r="A77" s="52"/>
      <c r="B77" s="52"/>
      <c r="C77" s="52"/>
      <c r="D77" s="52"/>
      <c r="E77" s="52"/>
      <c r="F77" s="52"/>
      <c r="G77" s="52"/>
      <c r="H77" s="52"/>
      <c r="I77" s="52"/>
      <c r="J77" s="52"/>
    </row>
    <row r="78" spans="1:17" ht="15.75" customHeight="1">
      <c r="A78" s="52"/>
      <c r="B78" s="52"/>
      <c r="C78" s="52"/>
      <c r="D78" s="52"/>
      <c r="E78" s="53"/>
      <c r="F78" s="52"/>
      <c r="G78" s="52"/>
      <c r="H78" s="52"/>
      <c r="I78" s="52"/>
      <c r="J78" s="52"/>
    </row>
    <row r="79" spans="1:17" ht="15.75" customHeight="1">
      <c r="A79" s="267" t="s">
        <v>199</v>
      </c>
      <c r="B79" s="251"/>
      <c r="C79" s="251"/>
      <c r="D79" s="251"/>
      <c r="E79" s="251"/>
      <c r="F79" s="251"/>
      <c r="G79" s="251"/>
      <c r="H79" s="251"/>
      <c r="I79" s="251"/>
      <c r="J79" s="251"/>
      <c r="K79" s="78"/>
      <c r="L79" s="78"/>
      <c r="M79" s="78"/>
      <c r="N79" s="78"/>
      <c r="O79" s="78"/>
      <c r="P79" s="78"/>
      <c r="Q79" s="78"/>
    </row>
    <row r="80" spans="1:17" ht="15.75" customHeight="1">
      <c r="A80" s="79"/>
      <c r="B80" s="79"/>
      <c r="C80" s="78"/>
      <c r="D80" s="78"/>
      <c r="E80" s="78"/>
      <c r="F80" s="78"/>
      <c r="G80" s="78"/>
      <c r="H80" s="78"/>
      <c r="I80" s="78"/>
      <c r="J80" s="78"/>
      <c r="K80" s="78"/>
      <c r="L80" s="78"/>
      <c r="M80" s="78"/>
      <c r="N80" s="78"/>
      <c r="O80" s="78"/>
      <c r="P80" s="78"/>
      <c r="Q80" s="78"/>
    </row>
    <row r="81" spans="1:17" ht="15.75" customHeight="1">
      <c r="A81" s="80" t="s">
        <v>150</v>
      </c>
      <c r="B81" s="81" t="s">
        <v>200</v>
      </c>
      <c r="C81" s="82" t="s">
        <v>153</v>
      </c>
      <c r="D81" s="82" t="s">
        <v>154</v>
      </c>
      <c r="E81" s="82" t="s">
        <v>155</v>
      </c>
      <c r="F81" s="82" t="s">
        <v>156</v>
      </c>
      <c r="G81" s="82" t="s">
        <v>157</v>
      </c>
      <c r="H81" s="82" t="s">
        <v>158</v>
      </c>
      <c r="I81" s="82" t="s">
        <v>159</v>
      </c>
      <c r="J81" s="83"/>
      <c r="K81" s="83"/>
      <c r="L81" s="83"/>
      <c r="M81" s="78"/>
      <c r="N81" s="78"/>
      <c r="O81" s="78"/>
      <c r="P81" s="78"/>
      <c r="Q81" s="78"/>
    </row>
    <row r="82" spans="1:17" ht="15.75" customHeight="1">
      <c r="A82" s="84" t="s">
        <v>146</v>
      </c>
      <c r="B82" s="85">
        <v>5</v>
      </c>
      <c r="C82" s="70">
        <f>'1.Project Cost and MOF'!$D$10/5</f>
        <v>100000</v>
      </c>
      <c r="D82" s="70">
        <f>'1.Project Cost and MOF'!$D$10/5</f>
        <v>100000</v>
      </c>
      <c r="E82" s="70">
        <f>'1.Project Cost and MOF'!$D$10/5</f>
        <v>100000</v>
      </c>
      <c r="F82" s="70">
        <f>'1.Project Cost and MOF'!$D$10/5</f>
        <v>100000</v>
      </c>
      <c r="G82" s="70">
        <f>'1.Project Cost and MOF'!$D$10/5</f>
        <v>100000</v>
      </c>
      <c r="H82" s="70">
        <v>0</v>
      </c>
      <c r="I82" s="70">
        <v>0</v>
      </c>
      <c r="J82" s="83"/>
      <c r="K82" s="83"/>
      <c r="L82" s="83"/>
      <c r="M82" s="78"/>
      <c r="N82" s="78"/>
      <c r="O82" s="78"/>
      <c r="P82" s="78"/>
      <c r="Q82" s="78"/>
    </row>
    <row r="83" spans="1:17" ht="15.75" customHeight="1">
      <c r="A83" s="86" t="s">
        <v>201</v>
      </c>
      <c r="B83" s="87"/>
      <c r="C83" s="71">
        <f t="shared" ref="C83:I83" si="65">SUM(C81:C82)</f>
        <v>100000</v>
      </c>
      <c r="D83" s="71">
        <f t="shared" si="65"/>
        <v>100000</v>
      </c>
      <c r="E83" s="71">
        <f t="shared" si="65"/>
        <v>100000</v>
      </c>
      <c r="F83" s="71">
        <f t="shared" si="65"/>
        <v>100000</v>
      </c>
      <c r="G83" s="71">
        <f t="shared" si="65"/>
        <v>100000</v>
      </c>
      <c r="H83" s="71">
        <f t="shared" si="65"/>
        <v>0</v>
      </c>
      <c r="I83" s="71">
        <f t="shared" si="65"/>
        <v>0</v>
      </c>
      <c r="J83" s="88"/>
      <c r="K83" s="88"/>
      <c r="L83" s="88"/>
      <c r="M83" s="78"/>
      <c r="N83" s="78"/>
      <c r="O83" s="78"/>
      <c r="P83" s="78"/>
      <c r="Q83" s="78"/>
    </row>
    <row r="84" spans="1:17" ht="15.75" customHeight="1">
      <c r="A84" s="78"/>
      <c r="B84" s="78"/>
      <c r="C84" s="83"/>
      <c r="D84" s="83"/>
      <c r="E84" s="83"/>
      <c r="F84" s="83"/>
      <c r="G84" s="83"/>
      <c r="H84" s="83"/>
      <c r="I84" s="83"/>
      <c r="J84" s="83"/>
      <c r="K84" s="83"/>
      <c r="L84" s="83"/>
      <c r="M84" s="78"/>
      <c r="N84" s="78"/>
      <c r="O84" s="78"/>
      <c r="P84" s="78"/>
      <c r="Q84" s="78"/>
    </row>
    <row r="85" spans="1:17" ht="15.75" customHeight="1"/>
    <row r="86" spans="1:17" ht="15.75" customHeight="1"/>
    <row r="87" spans="1:17" ht="15.75" customHeight="1">
      <c r="A87" s="89"/>
      <c r="B87" s="78"/>
      <c r="C87" s="78"/>
      <c r="D87" s="78"/>
      <c r="E87" s="78"/>
      <c r="F87" s="78"/>
      <c r="G87" s="78"/>
      <c r="H87" s="78"/>
      <c r="I87" s="78"/>
      <c r="J87" s="78"/>
      <c r="K87" s="78"/>
    </row>
    <row r="88" spans="1:17" ht="15.75" customHeight="1">
      <c r="A88" s="279" t="s">
        <v>202</v>
      </c>
      <c r="B88" s="251"/>
      <c r="C88" s="251"/>
      <c r="D88" s="251"/>
      <c r="E88" s="251"/>
      <c r="F88" s="251"/>
      <c r="G88" s="251"/>
      <c r="H88" s="251"/>
      <c r="I88" s="90"/>
      <c r="J88" s="90"/>
      <c r="K88" s="90"/>
    </row>
    <row r="89" spans="1:17" ht="15.75" customHeight="1">
      <c r="A89" s="79"/>
      <c r="B89" s="78"/>
      <c r="C89" s="78"/>
      <c r="D89" s="78"/>
      <c r="E89" s="78"/>
      <c r="F89" s="78"/>
      <c r="G89" s="78"/>
      <c r="H89" s="78"/>
      <c r="I89" s="78"/>
      <c r="J89" s="78"/>
      <c r="K89" s="78"/>
    </row>
    <row r="90" spans="1:17" ht="15.75" customHeight="1">
      <c r="A90" s="55" t="s">
        <v>150</v>
      </c>
      <c r="B90" s="56" t="s">
        <v>153</v>
      </c>
      <c r="C90" s="56" t="s">
        <v>154</v>
      </c>
      <c r="D90" s="56" t="s">
        <v>155</v>
      </c>
      <c r="E90" s="56" t="s">
        <v>156</v>
      </c>
      <c r="F90" s="56" t="s">
        <v>157</v>
      </c>
      <c r="G90" s="56" t="s">
        <v>158</v>
      </c>
      <c r="H90" s="56" t="s">
        <v>159</v>
      </c>
      <c r="I90" s="90"/>
      <c r="J90" s="90"/>
      <c r="K90" s="90"/>
    </row>
    <row r="91" spans="1:17" ht="15.75" customHeight="1">
      <c r="A91" s="57" t="s">
        <v>203</v>
      </c>
      <c r="B91" s="91">
        <f>'6.Cons Profit &amp; Loss'!B39</f>
        <v>232087.31711550051</v>
      </c>
      <c r="C91" s="91">
        <f>'6.Cons Profit &amp; Loss'!C39</f>
        <v>511155.30670752423</v>
      </c>
      <c r="D91" s="91">
        <f>'6.Cons Profit &amp; Loss'!D39</f>
        <v>1162937.038670511</v>
      </c>
      <c r="E91" s="91">
        <f>'6.Cons Profit &amp; Loss'!E39</f>
        <v>1859508.7165933922</v>
      </c>
      <c r="F91" s="91">
        <f>'6.Cons Profit &amp; Loss'!F39</f>
        <v>2594192.2049585604</v>
      </c>
      <c r="G91" s="91">
        <f>'6.Cons Profit &amp; Loss'!G39</f>
        <v>3337707.3163622096</v>
      </c>
      <c r="H91" s="91">
        <f>'6.Cons Profit &amp; Loss'!H39</f>
        <v>3995536.4711141796</v>
      </c>
      <c r="I91" s="92"/>
      <c r="J91" s="92"/>
      <c r="K91" s="92"/>
    </row>
    <row r="92" spans="1:17" ht="15.75" customHeight="1">
      <c r="A92" s="57" t="s">
        <v>204</v>
      </c>
      <c r="B92" s="91">
        <f>'6.Cons Profit &amp; Loss'!B32</f>
        <v>1744584.676</v>
      </c>
      <c r="C92" s="91">
        <f>'6.Cons Profit &amp; Loss'!C32</f>
        <v>1744584.676</v>
      </c>
      <c r="D92" s="91">
        <f>'6.Cons Profit &amp; Loss'!D32</f>
        <v>1744584.676</v>
      </c>
      <c r="E92" s="91">
        <f>'6.Cons Profit &amp; Loss'!E32</f>
        <v>1744584.676</v>
      </c>
      <c r="F92" s="91">
        <f>'6.Cons Profit &amp; Loss'!F32</f>
        <v>1744584.676</v>
      </c>
      <c r="G92" s="91">
        <f>'6.Cons Profit &amp; Loss'!G32</f>
        <v>1744584.676</v>
      </c>
      <c r="H92" s="91">
        <f>'6.Cons Profit &amp; Loss'!H32</f>
        <v>1744584.676</v>
      </c>
      <c r="I92" s="92"/>
      <c r="J92" s="92"/>
      <c r="K92" s="92"/>
    </row>
    <row r="93" spans="1:17" ht="15.75" customHeight="1">
      <c r="A93" s="57" t="s">
        <v>205</v>
      </c>
      <c r="B93" s="91">
        <f>'3.Other Exp &amp; Taxes'!K62</f>
        <v>4323828.4000000004</v>
      </c>
      <c r="C93" s="91">
        <f>'3.Other Exp &amp; Taxes'!L62</f>
        <v>3738202.74</v>
      </c>
      <c r="D93" s="91">
        <f>'3.Other Exp &amp; Taxes'!M62</f>
        <v>3237336.8490000004</v>
      </c>
      <c r="E93" s="91">
        <f>'3.Other Exp &amp; Taxes'!N62</f>
        <v>2807540.8576500001</v>
      </c>
      <c r="F93" s="91">
        <f>'3.Other Exp &amp; Taxes'!O62</f>
        <v>2437789.6922025001</v>
      </c>
      <c r="G93" s="91">
        <f>'3.Other Exp &amp; Taxes'!P62</f>
        <v>2119056.7337321253</v>
      </c>
      <c r="H93" s="91">
        <f>'3.Other Exp &amp; Taxes'!Q62</f>
        <v>1843856.2865843063</v>
      </c>
      <c r="I93" s="92"/>
      <c r="J93" s="92"/>
      <c r="K93" s="92"/>
    </row>
    <row r="94" spans="1:17" ht="15.75" customHeight="1">
      <c r="A94" s="57" t="s">
        <v>206</v>
      </c>
      <c r="B94" s="91">
        <f>+IF((B91+B92-B93)&lt;0,0,(B91+B92-B93))</f>
        <v>0</v>
      </c>
      <c r="C94" s="91">
        <f t="shared" ref="C94:H94" si="66">+IF((C91+C92-C93)&lt;0,0,(C91+C92-C93))</f>
        <v>0</v>
      </c>
      <c r="D94" s="91">
        <f t="shared" si="66"/>
        <v>0</v>
      </c>
      <c r="E94" s="91">
        <f t="shared" si="66"/>
        <v>796552.53494339203</v>
      </c>
      <c r="F94" s="91">
        <f t="shared" si="66"/>
        <v>1900987.1887560608</v>
      </c>
      <c r="G94" s="91">
        <f t="shared" si="66"/>
        <v>2963235.2586300843</v>
      </c>
      <c r="H94" s="91">
        <f t="shared" si="66"/>
        <v>3896264.8605298735</v>
      </c>
      <c r="I94" s="92"/>
      <c r="J94" s="92"/>
      <c r="K94" s="92"/>
    </row>
    <row r="95" spans="1:17" ht="15.75" customHeight="1">
      <c r="A95" s="60" t="s">
        <v>207</v>
      </c>
      <c r="B95" s="93">
        <f>(B94)*$B$98</f>
        <v>0</v>
      </c>
      <c r="C95" s="93">
        <f>(C94)*$B$98</f>
        <v>0</v>
      </c>
      <c r="D95" s="93">
        <f t="shared" ref="D95:H95" si="67">D94*$B$98</f>
        <v>0</v>
      </c>
      <c r="E95" s="93">
        <f t="shared" si="67"/>
        <v>207103.65908528195</v>
      </c>
      <c r="F95" s="93">
        <f t="shared" si="67"/>
        <v>494256.66907657584</v>
      </c>
      <c r="G95" s="93">
        <f t="shared" si="67"/>
        <v>770441.16724382201</v>
      </c>
      <c r="H95" s="93">
        <f t="shared" si="67"/>
        <v>1013028.8637377671</v>
      </c>
      <c r="I95" s="92"/>
      <c r="J95" s="92"/>
      <c r="K95" s="92"/>
    </row>
    <row r="96" spans="1:17" ht="15.75" customHeight="1">
      <c r="A96" s="94"/>
      <c r="B96" s="78"/>
      <c r="C96" s="78"/>
      <c r="D96" s="78"/>
      <c r="E96" s="78"/>
      <c r="F96" s="78"/>
      <c r="G96" s="78"/>
      <c r="H96" s="78"/>
      <c r="I96" s="78"/>
      <c r="J96" s="78"/>
      <c r="K96" s="78"/>
    </row>
    <row r="97" spans="1:11" ht="15.75" customHeight="1">
      <c r="A97" s="94"/>
      <c r="B97" s="83"/>
      <c r="C97" s="83"/>
      <c r="D97" s="83"/>
      <c r="E97" s="83"/>
      <c r="F97" s="83"/>
      <c r="G97" s="83"/>
      <c r="H97" s="83"/>
      <c r="I97" s="83"/>
      <c r="J97" s="83"/>
      <c r="K97" s="83"/>
    </row>
    <row r="98" spans="1:11" ht="15.75" customHeight="1">
      <c r="A98" s="95" t="s">
        <v>208</v>
      </c>
      <c r="B98" s="234">
        <v>0.26</v>
      </c>
      <c r="C98" s="83"/>
      <c r="D98" s="83"/>
      <c r="E98" s="83"/>
      <c r="F98" s="83"/>
      <c r="G98" s="83"/>
      <c r="H98" s="83"/>
      <c r="I98" s="83"/>
      <c r="J98" s="83"/>
      <c r="K98" s="83"/>
    </row>
    <row r="99" spans="1:11" ht="15.75" customHeight="1">
      <c r="A99" s="78"/>
      <c r="B99" s="78"/>
      <c r="C99" s="78"/>
      <c r="D99" s="78"/>
      <c r="E99" s="78"/>
      <c r="F99" s="78"/>
      <c r="G99" s="78"/>
      <c r="H99" s="78"/>
      <c r="I99" s="78"/>
      <c r="J99" s="78"/>
      <c r="K99" s="78"/>
    </row>
    <row r="100" spans="1:11" ht="28.5" customHeight="1">
      <c r="A100" s="280" t="s">
        <v>209</v>
      </c>
      <c r="B100" s="251"/>
      <c r="C100" s="251"/>
      <c r="D100" s="251"/>
      <c r="E100" s="251"/>
      <c r="F100" s="251"/>
      <c r="G100" s="251"/>
      <c r="H100" s="251"/>
      <c r="I100" s="83"/>
      <c r="J100" s="83"/>
      <c r="K100" s="83"/>
    </row>
  </sheetData>
  <mergeCells count="8">
    <mergeCell ref="A79:J79"/>
    <mergeCell ref="A88:H88"/>
    <mergeCell ref="A100:H100"/>
    <mergeCell ref="A2:K2"/>
    <mergeCell ref="A24:O24"/>
    <mergeCell ref="C27:I27"/>
    <mergeCell ref="K27:Q27"/>
    <mergeCell ref="K26:Q26"/>
  </mergeCells>
  <pageMargins left="0.7" right="0.7" top="0.75" bottom="0.75" header="0" footer="0"/>
  <pageSetup paperSize="9" scale="46" orientation="portrait" r:id="rId1"/>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100"/>
  <sheetViews>
    <sheetView tabSelected="1" view="pageBreakPreview" topLeftCell="A63" zoomScale="60" workbookViewId="0">
      <selection activeCell="E82" sqref="E82"/>
    </sheetView>
  </sheetViews>
  <sheetFormatPr defaultColWidth="14.42578125" defaultRowHeight="15" customHeight="1"/>
  <cols>
    <col min="1" max="1" width="8.7109375" customWidth="1"/>
    <col min="2" max="2" width="15.42578125" customWidth="1"/>
    <col min="3" max="3" width="28.140625" customWidth="1"/>
    <col min="4" max="4" width="16.140625" bestFit="1" customWidth="1"/>
    <col min="5" max="5" width="25.85546875" customWidth="1"/>
    <col min="6" max="6" width="12.140625" customWidth="1"/>
    <col min="7" max="7" width="30.140625" customWidth="1"/>
    <col min="8" max="8" width="12.28515625" customWidth="1"/>
    <col min="9" max="9" width="11.7109375" customWidth="1"/>
    <col min="10" max="11" width="8.7109375" customWidth="1"/>
  </cols>
  <sheetData>
    <row r="2" spans="1:7" ht="18.75">
      <c r="A2" s="284" t="s">
        <v>210</v>
      </c>
      <c r="B2" s="285"/>
      <c r="C2" s="285"/>
      <c r="D2" s="285"/>
      <c r="E2" s="285"/>
      <c r="F2" s="285"/>
      <c r="G2" s="286"/>
    </row>
    <row r="3" spans="1:7">
      <c r="B3" s="39"/>
      <c r="C3" s="39"/>
      <c r="D3" s="39"/>
      <c r="E3" s="39"/>
      <c r="F3" s="39"/>
      <c r="G3" s="39"/>
    </row>
    <row r="4" spans="1:7">
      <c r="A4" s="52"/>
      <c r="B4" s="52"/>
      <c r="C4" s="52" t="s">
        <v>211</v>
      </c>
      <c r="D4" s="96">
        <f>'1.Project Cost and MOF'!E20</f>
        <v>7499999.6468848577</v>
      </c>
      <c r="E4" s="52"/>
      <c r="F4" s="52"/>
      <c r="G4" s="52"/>
    </row>
    <row r="5" spans="1:7">
      <c r="A5" s="52"/>
      <c r="B5" s="52"/>
      <c r="C5" s="52" t="s">
        <v>212</v>
      </c>
      <c r="D5" s="235">
        <v>0.13</v>
      </c>
      <c r="E5" s="52"/>
      <c r="F5" s="52"/>
      <c r="G5" s="52"/>
    </row>
    <row r="6" spans="1:7">
      <c r="A6" s="52"/>
      <c r="B6" s="52"/>
      <c r="C6" s="52" t="s">
        <v>213</v>
      </c>
      <c r="D6" s="202">
        <v>6.5</v>
      </c>
      <c r="E6" s="52"/>
      <c r="F6" s="52"/>
      <c r="G6" s="52"/>
    </row>
    <row r="7" spans="1:7">
      <c r="A7" s="52"/>
      <c r="B7" s="52"/>
      <c r="C7" s="52" t="s">
        <v>214</v>
      </c>
      <c r="D7" s="202">
        <v>6</v>
      </c>
      <c r="E7" s="52"/>
      <c r="F7" s="52"/>
      <c r="G7" s="52"/>
    </row>
    <row r="8" spans="1:7">
      <c r="A8" s="52"/>
      <c r="B8" s="52"/>
      <c r="C8" s="52" t="s">
        <v>215</v>
      </c>
      <c r="D8" s="98">
        <f>PMT(D5/12,(D6-(D7/12))*12,-D4)</f>
        <v>150555.78195986379</v>
      </c>
      <c r="E8" s="98"/>
      <c r="F8" s="99"/>
      <c r="G8" s="52"/>
    </row>
    <row r="9" spans="1:7">
      <c r="A9" s="55" t="s">
        <v>216</v>
      </c>
      <c r="B9" s="100" t="s">
        <v>217</v>
      </c>
      <c r="C9" s="101" t="s">
        <v>218</v>
      </c>
      <c r="D9" s="101" t="s">
        <v>219</v>
      </c>
      <c r="E9" s="101" t="s">
        <v>220</v>
      </c>
      <c r="F9" s="101" t="s">
        <v>215</v>
      </c>
      <c r="G9" s="101" t="s">
        <v>221</v>
      </c>
    </row>
    <row r="10" spans="1:7">
      <c r="A10" s="57" t="s">
        <v>222</v>
      </c>
      <c r="B10" s="57" t="s">
        <v>223</v>
      </c>
      <c r="C10" s="59">
        <f>D4</f>
        <v>7499999.6468848577</v>
      </c>
      <c r="D10" s="59">
        <f t="shared" ref="D10:D93" si="0">C10*$D$5/12</f>
        <v>81249.996174585962</v>
      </c>
      <c r="E10" s="59">
        <f t="shared" ref="E10:E93" si="1">F10-D10</f>
        <v>0</v>
      </c>
      <c r="F10" s="59">
        <f t="shared" ref="F10:F15" si="2">D10</f>
        <v>81249.996174585962</v>
      </c>
      <c r="G10" s="59">
        <f t="shared" ref="G10:G93" si="3">C10-E10</f>
        <v>7499999.6468848577</v>
      </c>
    </row>
    <row r="11" spans="1:7">
      <c r="A11" s="57"/>
      <c r="B11" s="57" t="s">
        <v>224</v>
      </c>
      <c r="C11" s="59">
        <f t="shared" ref="C11:C93" si="4">G10</f>
        <v>7499999.6468848577</v>
      </c>
      <c r="D11" s="59">
        <f t="shared" si="0"/>
        <v>81249.996174585962</v>
      </c>
      <c r="E11" s="59">
        <f t="shared" si="1"/>
        <v>0</v>
      </c>
      <c r="F11" s="59">
        <f t="shared" si="2"/>
        <v>81249.996174585962</v>
      </c>
      <c r="G11" s="59">
        <f t="shared" si="3"/>
        <v>7499999.6468848577</v>
      </c>
    </row>
    <row r="12" spans="1:7">
      <c r="A12" s="57"/>
      <c r="B12" s="57" t="s">
        <v>225</v>
      </c>
      <c r="C12" s="59">
        <f t="shared" si="4"/>
        <v>7499999.6468848577</v>
      </c>
      <c r="D12" s="59">
        <f t="shared" si="0"/>
        <v>81249.996174585962</v>
      </c>
      <c r="E12" s="59">
        <f t="shared" si="1"/>
        <v>0</v>
      </c>
      <c r="F12" s="59">
        <f t="shared" si="2"/>
        <v>81249.996174585962</v>
      </c>
      <c r="G12" s="59">
        <f t="shared" si="3"/>
        <v>7499999.6468848577</v>
      </c>
    </row>
    <row r="13" spans="1:7">
      <c r="A13" s="57"/>
      <c r="B13" s="57" t="s">
        <v>226</v>
      </c>
      <c r="C13" s="59">
        <f t="shared" si="4"/>
        <v>7499999.6468848577</v>
      </c>
      <c r="D13" s="59">
        <f t="shared" si="0"/>
        <v>81249.996174585962</v>
      </c>
      <c r="E13" s="59">
        <f t="shared" si="1"/>
        <v>0</v>
      </c>
      <c r="F13" s="59">
        <f t="shared" si="2"/>
        <v>81249.996174585962</v>
      </c>
      <c r="G13" s="59">
        <f t="shared" si="3"/>
        <v>7499999.6468848577</v>
      </c>
    </row>
    <row r="14" spans="1:7">
      <c r="A14" s="57"/>
      <c r="B14" s="57" t="s">
        <v>227</v>
      </c>
      <c r="C14" s="59">
        <f t="shared" si="4"/>
        <v>7499999.6468848577</v>
      </c>
      <c r="D14" s="59">
        <f t="shared" si="0"/>
        <v>81249.996174585962</v>
      </c>
      <c r="E14" s="59">
        <f t="shared" si="1"/>
        <v>0</v>
      </c>
      <c r="F14" s="59">
        <f t="shared" si="2"/>
        <v>81249.996174585962</v>
      </c>
      <c r="G14" s="59">
        <f t="shared" si="3"/>
        <v>7499999.6468848577</v>
      </c>
    </row>
    <row r="15" spans="1:7">
      <c r="A15" s="57"/>
      <c r="B15" s="57" t="s">
        <v>228</v>
      </c>
      <c r="C15" s="59">
        <f t="shared" si="4"/>
        <v>7499999.6468848577</v>
      </c>
      <c r="D15" s="59">
        <f t="shared" si="0"/>
        <v>81249.996174585962</v>
      </c>
      <c r="E15" s="59">
        <f t="shared" si="1"/>
        <v>0</v>
      </c>
      <c r="F15" s="59">
        <f t="shared" si="2"/>
        <v>81249.996174585962</v>
      </c>
      <c r="G15" s="59">
        <f t="shared" si="3"/>
        <v>7499999.6468848577</v>
      </c>
    </row>
    <row r="16" spans="1:7">
      <c r="A16" s="57"/>
      <c r="B16" s="57" t="s">
        <v>229</v>
      </c>
      <c r="C16" s="59">
        <f t="shared" si="4"/>
        <v>7499999.6468848577</v>
      </c>
      <c r="D16" s="59">
        <f t="shared" si="0"/>
        <v>81249.996174585962</v>
      </c>
      <c r="E16" s="59">
        <f t="shared" si="1"/>
        <v>69305.785785277825</v>
      </c>
      <c r="F16" s="59">
        <f t="shared" ref="F16:F87" si="5">$D$8</f>
        <v>150555.78195986379</v>
      </c>
      <c r="G16" s="59">
        <f t="shared" si="3"/>
        <v>7430693.8610995803</v>
      </c>
    </row>
    <row r="17" spans="1:9">
      <c r="A17" s="57"/>
      <c r="B17" s="57" t="s">
        <v>230</v>
      </c>
      <c r="C17" s="59">
        <f t="shared" si="4"/>
        <v>7430693.8610995803</v>
      </c>
      <c r="D17" s="59">
        <f t="shared" si="0"/>
        <v>80499.183495245452</v>
      </c>
      <c r="E17" s="59">
        <f t="shared" si="1"/>
        <v>70056.598464618335</v>
      </c>
      <c r="F17" s="59">
        <f t="shared" si="5"/>
        <v>150555.78195986379</v>
      </c>
      <c r="G17" s="59">
        <f t="shared" si="3"/>
        <v>7360637.2626349619</v>
      </c>
    </row>
    <row r="18" spans="1:9">
      <c r="A18" s="57"/>
      <c r="B18" s="57" t="s">
        <v>231</v>
      </c>
      <c r="C18" s="59">
        <f t="shared" si="4"/>
        <v>7360637.2626349619</v>
      </c>
      <c r="D18" s="59">
        <f t="shared" si="0"/>
        <v>79740.237011878766</v>
      </c>
      <c r="E18" s="59">
        <f t="shared" si="1"/>
        <v>70815.544947985021</v>
      </c>
      <c r="F18" s="59">
        <f t="shared" si="5"/>
        <v>150555.78195986379</v>
      </c>
      <c r="G18" s="59">
        <f t="shared" si="3"/>
        <v>7289821.7176869772</v>
      </c>
    </row>
    <row r="19" spans="1:9">
      <c r="A19" s="57"/>
      <c r="B19" s="57" t="s">
        <v>232</v>
      </c>
      <c r="C19" s="59">
        <f t="shared" si="4"/>
        <v>7289821.7176869772</v>
      </c>
      <c r="D19" s="59">
        <f t="shared" si="0"/>
        <v>78973.068608275586</v>
      </c>
      <c r="E19" s="59">
        <f t="shared" si="1"/>
        <v>71582.713351588201</v>
      </c>
      <c r="F19" s="59">
        <f t="shared" si="5"/>
        <v>150555.78195986379</v>
      </c>
      <c r="G19" s="59">
        <f t="shared" si="3"/>
        <v>7218239.0043353895</v>
      </c>
    </row>
    <row r="20" spans="1:9">
      <c r="A20" s="57"/>
      <c r="B20" s="57" t="s">
        <v>233</v>
      </c>
      <c r="C20" s="59">
        <f t="shared" si="4"/>
        <v>7218239.0043353895</v>
      </c>
      <c r="D20" s="59">
        <f t="shared" si="0"/>
        <v>78197.589213633386</v>
      </c>
      <c r="E20" s="59">
        <f t="shared" si="1"/>
        <v>72358.192746230401</v>
      </c>
      <c r="F20" s="59">
        <f t="shared" si="5"/>
        <v>150555.78195986379</v>
      </c>
      <c r="G20" s="59">
        <f t="shared" si="3"/>
        <v>7145880.8115891591</v>
      </c>
    </row>
    <row r="21" spans="1:9" ht="15.75" customHeight="1">
      <c r="A21" s="57"/>
      <c r="B21" s="57" t="s">
        <v>234</v>
      </c>
      <c r="C21" s="59">
        <f t="shared" si="4"/>
        <v>7145880.8115891591</v>
      </c>
      <c r="D21" s="59">
        <f t="shared" si="0"/>
        <v>77413.708792215897</v>
      </c>
      <c r="E21" s="59">
        <f t="shared" si="1"/>
        <v>73142.07316764789</v>
      </c>
      <c r="F21" s="59">
        <f t="shared" si="5"/>
        <v>150555.78195986379</v>
      </c>
      <c r="G21" s="59">
        <f t="shared" si="3"/>
        <v>7072738.7384215109</v>
      </c>
      <c r="H21" s="102"/>
      <c r="I21" s="102"/>
    </row>
    <row r="22" spans="1:9" ht="15.75" customHeight="1">
      <c r="A22" s="57" t="s">
        <v>235</v>
      </c>
      <c r="B22" s="57" t="s">
        <v>236</v>
      </c>
      <c r="C22" s="59">
        <f t="shared" si="4"/>
        <v>7072738.7384215109</v>
      </c>
      <c r="D22" s="59">
        <f t="shared" si="0"/>
        <v>76621.336332899707</v>
      </c>
      <c r="E22" s="59">
        <f t="shared" si="1"/>
        <v>73934.44562696408</v>
      </c>
      <c r="F22" s="59">
        <f t="shared" si="5"/>
        <v>150555.78195986379</v>
      </c>
      <c r="G22" s="59">
        <f t="shared" si="3"/>
        <v>6998804.292794547</v>
      </c>
    </row>
    <row r="23" spans="1:9" ht="15.75" customHeight="1">
      <c r="A23" s="57"/>
      <c r="B23" s="57" t="s">
        <v>237</v>
      </c>
      <c r="C23" s="59">
        <f t="shared" si="4"/>
        <v>6998804.292794547</v>
      </c>
      <c r="D23" s="59">
        <f t="shared" si="0"/>
        <v>75820.379838607594</v>
      </c>
      <c r="E23" s="59">
        <f t="shared" si="1"/>
        <v>74735.402121256193</v>
      </c>
      <c r="F23" s="59">
        <f t="shared" si="5"/>
        <v>150555.78195986379</v>
      </c>
      <c r="G23" s="59">
        <f t="shared" si="3"/>
        <v>6924068.8906732909</v>
      </c>
    </row>
    <row r="24" spans="1:9" ht="15.75" customHeight="1">
      <c r="A24" s="57"/>
      <c r="B24" s="57" t="s">
        <v>238</v>
      </c>
      <c r="C24" s="59">
        <f t="shared" si="4"/>
        <v>6924068.8906732909</v>
      </c>
      <c r="D24" s="59">
        <f t="shared" si="0"/>
        <v>75010.746315627315</v>
      </c>
      <c r="E24" s="59">
        <f t="shared" si="1"/>
        <v>75545.035644236472</v>
      </c>
      <c r="F24" s="59">
        <f t="shared" si="5"/>
        <v>150555.78195986379</v>
      </c>
      <c r="G24" s="59">
        <f t="shared" si="3"/>
        <v>6848523.8550290549</v>
      </c>
    </row>
    <row r="25" spans="1:9" ht="15.75" customHeight="1">
      <c r="A25" s="57"/>
      <c r="B25" s="57" t="s">
        <v>239</v>
      </c>
      <c r="C25" s="59">
        <f t="shared" si="4"/>
        <v>6848523.8550290549</v>
      </c>
      <c r="D25" s="59">
        <f t="shared" si="0"/>
        <v>74192.341762814773</v>
      </c>
      <c r="E25" s="59">
        <f t="shared" si="1"/>
        <v>76363.440197049014</v>
      </c>
      <c r="F25" s="59">
        <f t="shared" si="5"/>
        <v>150555.78195986379</v>
      </c>
      <c r="G25" s="59">
        <f t="shared" si="3"/>
        <v>6772160.4148320062</v>
      </c>
    </row>
    <row r="26" spans="1:9" ht="15.75" customHeight="1">
      <c r="A26" s="57"/>
      <c r="B26" s="57" t="s">
        <v>240</v>
      </c>
      <c r="C26" s="59">
        <f t="shared" si="4"/>
        <v>6772160.4148320062</v>
      </c>
      <c r="D26" s="59">
        <f t="shared" si="0"/>
        <v>73365.071160680076</v>
      </c>
      <c r="E26" s="59">
        <f t="shared" si="1"/>
        <v>77190.710799183711</v>
      </c>
      <c r="F26" s="59">
        <f t="shared" si="5"/>
        <v>150555.78195986379</v>
      </c>
      <c r="G26" s="59">
        <f t="shared" si="3"/>
        <v>6694969.7040328225</v>
      </c>
    </row>
    <row r="27" spans="1:9" ht="15.75" customHeight="1">
      <c r="A27" s="57"/>
      <c r="B27" s="57" t="s">
        <v>241</v>
      </c>
      <c r="C27" s="59">
        <f t="shared" si="4"/>
        <v>6694969.7040328225</v>
      </c>
      <c r="D27" s="59">
        <f t="shared" si="0"/>
        <v>72528.838460355575</v>
      </c>
      <c r="E27" s="59">
        <f t="shared" si="1"/>
        <v>78026.943499508212</v>
      </c>
      <c r="F27" s="59">
        <f t="shared" si="5"/>
        <v>150555.78195986379</v>
      </c>
      <c r="G27" s="59">
        <f t="shared" si="3"/>
        <v>6616942.7605333142</v>
      </c>
    </row>
    <row r="28" spans="1:9" ht="15.75" customHeight="1">
      <c r="A28" s="57"/>
      <c r="B28" s="57" t="s">
        <v>242</v>
      </c>
      <c r="C28" s="59">
        <f t="shared" si="4"/>
        <v>6616942.7605333142</v>
      </c>
      <c r="D28" s="59">
        <f t="shared" si="0"/>
        <v>71683.546572444247</v>
      </c>
      <c r="E28" s="59">
        <f t="shared" si="1"/>
        <v>78872.23538741954</v>
      </c>
      <c r="F28" s="59">
        <f t="shared" si="5"/>
        <v>150555.78195986379</v>
      </c>
      <c r="G28" s="59">
        <f t="shared" si="3"/>
        <v>6538070.5251458948</v>
      </c>
    </row>
    <row r="29" spans="1:9" ht="15.75" customHeight="1">
      <c r="A29" s="57"/>
      <c r="B29" s="57" t="s">
        <v>243</v>
      </c>
      <c r="C29" s="59">
        <f t="shared" si="4"/>
        <v>6538070.5251458948</v>
      </c>
      <c r="D29" s="59">
        <f t="shared" si="0"/>
        <v>70829.097355747203</v>
      </c>
      <c r="E29" s="59">
        <f t="shared" si="1"/>
        <v>79726.684604116585</v>
      </c>
      <c r="F29" s="59">
        <f t="shared" si="5"/>
        <v>150555.78195986379</v>
      </c>
      <c r="G29" s="59">
        <f t="shared" si="3"/>
        <v>6458343.8405417781</v>
      </c>
    </row>
    <row r="30" spans="1:9" ht="15.75" customHeight="1">
      <c r="A30" s="57"/>
      <c r="B30" s="57" t="s">
        <v>244</v>
      </c>
      <c r="C30" s="59">
        <f t="shared" si="4"/>
        <v>6458343.8405417781</v>
      </c>
      <c r="D30" s="59">
        <f t="shared" si="0"/>
        <v>69965.39160586927</v>
      </c>
      <c r="E30" s="59">
        <f t="shared" si="1"/>
        <v>80590.390353994517</v>
      </c>
      <c r="F30" s="59">
        <f t="shared" si="5"/>
        <v>150555.78195986379</v>
      </c>
      <c r="G30" s="59">
        <f t="shared" si="3"/>
        <v>6377753.4501877837</v>
      </c>
    </row>
    <row r="31" spans="1:9" ht="15.75" customHeight="1">
      <c r="A31" s="57"/>
      <c r="B31" s="57" t="s">
        <v>245</v>
      </c>
      <c r="C31" s="59">
        <f t="shared" si="4"/>
        <v>6377753.4501877837</v>
      </c>
      <c r="D31" s="59">
        <f t="shared" si="0"/>
        <v>69092.329043700985</v>
      </c>
      <c r="E31" s="59">
        <f t="shared" si="1"/>
        <v>81463.452916162802</v>
      </c>
      <c r="F31" s="59">
        <f t="shared" si="5"/>
        <v>150555.78195986379</v>
      </c>
      <c r="G31" s="59">
        <f t="shared" si="3"/>
        <v>6296289.9972716207</v>
      </c>
    </row>
    <row r="32" spans="1:9" ht="15.75" customHeight="1">
      <c r="A32" s="57"/>
      <c r="B32" s="57" t="s">
        <v>246</v>
      </c>
      <c r="C32" s="59">
        <f t="shared" si="4"/>
        <v>6296289.9972716207</v>
      </c>
      <c r="D32" s="59">
        <f t="shared" si="0"/>
        <v>68209.808303775892</v>
      </c>
      <c r="E32" s="59">
        <f t="shared" si="1"/>
        <v>82345.973656087896</v>
      </c>
      <c r="F32" s="59">
        <f t="shared" si="5"/>
        <v>150555.78195986379</v>
      </c>
      <c r="G32" s="59">
        <f t="shared" si="3"/>
        <v>6213944.0236155326</v>
      </c>
    </row>
    <row r="33" spans="1:9" ht="15.75" customHeight="1">
      <c r="A33" s="57"/>
      <c r="B33" s="57" t="s">
        <v>247</v>
      </c>
      <c r="C33" s="59">
        <f t="shared" si="4"/>
        <v>6213944.0236155326</v>
      </c>
      <c r="D33" s="59">
        <f t="shared" si="0"/>
        <v>67317.726922501606</v>
      </c>
      <c r="E33" s="59">
        <f t="shared" si="1"/>
        <v>83238.055037362181</v>
      </c>
      <c r="F33" s="59">
        <f t="shared" si="5"/>
        <v>150555.78195986379</v>
      </c>
      <c r="G33" s="59">
        <f t="shared" si="3"/>
        <v>6130705.9685781701</v>
      </c>
      <c r="H33" s="102"/>
      <c r="I33" s="102"/>
    </row>
    <row r="34" spans="1:9" ht="15.75" customHeight="1">
      <c r="A34" s="57" t="s">
        <v>248</v>
      </c>
      <c r="B34" s="57" t="s">
        <v>249</v>
      </c>
      <c r="C34" s="59">
        <f t="shared" si="4"/>
        <v>6130705.9685781701</v>
      </c>
      <c r="D34" s="59">
        <f t="shared" si="0"/>
        <v>66415.981326263514</v>
      </c>
      <c r="E34" s="59">
        <f t="shared" si="1"/>
        <v>84139.800633600273</v>
      </c>
      <c r="F34" s="59">
        <f t="shared" si="5"/>
        <v>150555.78195986379</v>
      </c>
      <c r="G34" s="59">
        <f t="shared" si="3"/>
        <v>6046566.1679445701</v>
      </c>
    </row>
    <row r="35" spans="1:9" ht="15.75" customHeight="1">
      <c r="A35" s="57"/>
      <c r="B35" s="57" t="s">
        <v>250</v>
      </c>
      <c r="C35" s="59">
        <f t="shared" si="4"/>
        <v>6046566.1679445701</v>
      </c>
      <c r="D35" s="59">
        <f t="shared" si="0"/>
        <v>65504.466819399509</v>
      </c>
      <c r="E35" s="59">
        <f t="shared" si="1"/>
        <v>85051.315140464285</v>
      </c>
      <c r="F35" s="59">
        <f t="shared" si="5"/>
        <v>150555.78195986379</v>
      </c>
      <c r="G35" s="59">
        <f t="shared" si="3"/>
        <v>5961514.8528041057</v>
      </c>
    </row>
    <row r="36" spans="1:9" ht="15.75" customHeight="1">
      <c r="A36" s="57"/>
      <c r="B36" s="57" t="s">
        <v>251</v>
      </c>
      <c r="C36" s="59">
        <f t="shared" si="4"/>
        <v>5961514.8528041057</v>
      </c>
      <c r="D36" s="59">
        <f t="shared" si="0"/>
        <v>64583.07757204448</v>
      </c>
      <c r="E36" s="59">
        <f t="shared" si="1"/>
        <v>85972.704387819307</v>
      </c>
      <c r="F36" s="59">
        <f t="shared" si="5"/>
        <v>150555.78195986379</v>
      </c>
      <c r="G36" s="59">
        <f t="shared" si="3"/>
        <v>5875542.1484162863</v>
      </c>
    </row>
    <row r="37" spans="1:9" ht="15.75" customHeight="1">
      <c r="A37" s="57"/>
      <c r="B37" s="57" t="s">
        <v>252</v>
      </c>
      <c r="C37" s="59">
        <f t="shared" si="4"/>
        <v>5875542.1484162863</v>
      </c>
      <c r="D37" s="59">
        <f t="shared" si="0"/>
        <v>63651.706607843109</v>
      </c>
      <c r="E37" s="59">
        <f t="shared" si="1"/>
        <v>86904.075352020678</v>
      </c>
      <c r="F37" s="59">
        <f t="shared" si="5"/>
        <v>150555.78195986379</v>
      </c>
      <c r="G37" s="59">
        <f t="shared" si="3"/>
        <v>5788638.0730642658</v>
      </c>
    </row>
    <row r="38" spans="1:9" ht="15.75" customHeight="1">
      <c r="A38" s="57"/>
      <c r="B38" s="57" t="s">
        <v>253</v>
      </c>
      <c r="C38" s="59">
        <f t="shared" si="4"/>
        <v>5788638.0730642658</v>
      </c>
      <c r="D38" s="59">
        <f t="shared" si="0"/>
        <v>62710.245791529545</v>
      </c>
      <c r="E38" s="59">
        <f t="shared" si="1"/>
        <v>87845.536168334249</v>
      </c>
      <c r="F38" s="59">
        <f t="shared" si="5"/>
        <v>150555.78195986379</v>
      </c>
      <c r="G38" s="59">
        <f t="shared" si="3"/>
        <v>5700792.5368959317</v>
      </c>
    </row>
    <row r="39" spans="1:9" ht="15.75" customHeight="1">
      <c r="A39" s="57"/>
      <c r="B39" s="57" t="s">
        <v>254</v>
      </c>
      <c r="C39" s="59">
        <f t="shared" si="4"/>
        <v>5700792.5368959317</v>
      </c>
      <c r="D39" s="59">
        <f t="shared" si="0"/>
        <v>61758.585816372593</v>
      </c>
      <c r="E39" s="59">
        <f t="shared" si="1"/>
        <v>88797.196143491194</v>
      </c>
      <c r="F39" s="59">
        <f t="shared" si="5"/>
        <v>150555.78195986379</v>
      </c>
      <c r="G39" s="59">
        <f t="shared" si="3"/>
        <v>5611995.3407524405</v>
      </c>
    </row>
    <row r="40" spans="1:9" ht="15.75" customHeight="1">
      <c r="A40" s="57"/>
      <c r="B40" s="57" t="s">
        <v>255</v>
      </c>
      <c r="C40" s="59">
        <f t="shared" si="4"/>
        <v>5611995.3407524405</v>
      </c>
      <c r="D40" s="59">
        <f t="shared" si="0"/>
        <v>60796.616191484769</v>
      </c>
      <c r="E40" s="59">
        <f t="shared" si="1"/>
        <v>89759.165768379025</v>
      </c>
      <c r="F40" s="59">
        <f t="shared" si="5"/>
        <v>150555.78195986379</v>
      </c>
      <c r="G40" s="59">
        <f t="shared" si="3"/>
        <v>5522236.1749840612</v>
      </c>
    </row>
    <row r="41" spans="1:9" ht="15.75" customHeight="1">
      <c r="A41" s="57"/>
      <c r="B41" s="57" t="s">
        <v>256</v>
      </c>
      <c r="C41" s="59">
        <f t="shared" si="4"/>
        <v>5522236.1749840612</v>
      </c>
      <c r="D41" s="59">
        <f t="shared" si="0"/>
        <v>59824.225228994001</v>
      </c>
      <c r="E41" s="59">
        <f t="shared" si="1"/>
        <v>90731.556730869779</v>
      </c>
      <c r="F41" s="59">
        <f t="shared" si="5"/>
        <v>150555.78195986379</v>
      </c>
      <c r="G41" s="59">
        <f t="shared" si="3"/>
        <v>5431504.618253191</v>
      </c>
    </row>
    <row r="42" spans="1:9" ht="15.75" customHeight="1">
      <c r="A42" s="57"/>
      <c r="B42" s="57" t="s">
        <v>257</v>
      </c>
      <c r="C42" s="59">
        <f t="shared" si="4"/>
        <v>5431504.618253191</v>
      </c>
      <c r="D42" s="59">
        <f t="shared" si="0"/>
        <v>58841.300031076236</v>
      </c>
      <c r="E42" s="59">
        <f t="shared" si="1"/>
        <v>91714.481928787543</v>
      </c>
      <c r="F42" s="59">
        <f t="shared" si="5"/>
        <v>150555.78195986379</v>
      </c>
      <c r="G42" s="59">
        <f t="shared" si="3"/>
        <v>5339790.1363244038</v>
      </c>
    </row>
    <row r="43" spans="1:9" ht="15.75" customHeight="1">
      <c r="A43" s="57"/>
      <c r="B43" s="57" t="s">
        <v>258</v>
      </c>
      <c r="C43" s="59">
        <f t="shared" si="4"/>
        <v>5339790.1363244038</v>
      </c>
      <c r="D43" s="59">
        <f t="shared" si="0"/>
        <v>57847.726476847711</v>
      </c>
      <c r="E43" s="59">
        <f t="shared" si="1"/>
        <v>92708.055483016069</v>
      </c>
      <c r="F43" s="59">
        <f t="shared" si="5"/>
        <v>150555.78195986379</v>
      </c>
      <c r="G43" s="59">
        <f t="shared" si="3"/>
        <v>5247082.0808413876</v>
      </c>
    </row>
    <row r="44" spans="1:9" ht="15.75" customHeight="1">
      <c r="A44" s="57"/>
      <c r="B44" s="57" t="s">
        <v>259</v>
      </c>
      <c r="C44" s="59">
        <f t="shared" si="4"/>
        <v>5247082.0808413876</v>
      </c>
      <c r="D44" s="59">
        <f t="shared" si="0"/>
        <v>56843.389209115034</v>
      </c>
      <c r="E44" s="59">
        <f t="shared" si="1"/>
        <v>93712.392750748753</v>
      </c>
      <c r="F44" s="59">
        <f t="shared" si="5"/>
        <v>150555.78195986379</v>
      </c>
      <c r="G44" s="59">
        <f t="shared" si="3"/>
        <v>5153369.6880906392</v>
      </c>
    </row>
    <row r="45" spans="1:9" ht="15.75" customHeight="1">
      <c r="A45" s="57"/>
      <c r="B45" s="57" t="s">
        <v>260</v>
      </c>
      <c r="C45" s="59">
        <f t="shared" si="4"/>
        <v>5153369.6880906392</v>
      </c>
      <c r="D45" s="59">
        <f t="shared" si="0"/>
        <v>55828.171620981921</v>
      </c>
      <c r="E45" s="59">
        <f t="shared" si="1"/>
        <v>94727.610338881874</v>
      </c>
      <c r="F45" s="59">
        <f t="shared" si="5"/>
        <v>150555.78195986379</v>
      </c>
      <c r="G45" s="59">
        <f t="shared" si="3"/>
        <v>5058642.0777517576</v>
      </c>
      <c r="H45" s="102"/>
      <c r="I45" s="102"/>
    </row>
    <row r="46" spans="1:9" ht="15.75" customHeight="1">
      <c r="A46" s="57" t="s">
        <v>261</v>
      </c>
      <c r="B46" s="57" t="s">
        <v>262</v>
      </c>
      <c r="C46" s="59">
        <f t="shared" si="4"/>
        <v>5058642.0777517576</v>
      </c>
      <c r="D46" s="59">
        <f t="shared" si="0"/>
        <v>54801.955842310708</v>
      </c>
      <c r="E46" s="59">
        <f t="shared" si="1"/>
        <v>95753.826117553079</v>
      </c>
      <c r="F46" s="59">
        <f t="shared" si="5"/>
        <v>150555.78195986379</v>
      </c>
      <c r="G46" s="59">
        <f t="shared" si="3"/>
        <v>4962888.2516342048</v>
      </c>
    </row>
    <row r="47" spans="1:9" ht="15.75" customHeight="1">
      <c r="A47" s="57"/>
      <c r="B47" s="57" t="s">
        <v>263</v>
      </c>
      <c r="C47" s="59">
        <f t="shared" si="4"/>
        <v>4962888.2516342048</v>
      </c>
      <c r="D47" s="59">
        <f t="shared" si="0"/>
        <v>53764.622726037218</v>
      </c>
      <c r="E47" s="59">
        <f t="shared" si="1"/>
        <v>96791.159233826562</v>
      </c>
      <c r="F47" s="59">
        <f t="shared" si="5"/>
        <v>150555.78195986379</v>
      </c>
      <c r="G47" s="59">
        <f t="shared" si="3"/>
        <v>4866097.0924003785</v>
      </c>
    </row>
    <row r="48" spans="1:9" ht="15.75" customHeight="1">
      <c r="A48" s="57"/>
      <c r="B48" s="57" t="s">
        <v>264</v>
      </c>
      <c r="C48" s="59">
        <f t="shared" si="4"/>
        <v>4866097.0924003785</v>
      </c>
      <c r="D48" s="59">
        <f t="shared" si="0"/>
        <v>52716.051834337435</v>
      </c>
      <c r="E48" s="59">
        <f t="shared" si="1"/>
        <v>97839.730125526345</v>
      </c>
      <c r="F48" s="59">
        <f t="shared" si="5"/>
        <v>150555.78195986379</v>
      </c>
      <c r="G48" s="59">
        <f t="shared" si="3"/>
        <v>4768257.3622748526</v>
      </c>
    </row>
    <row r="49" spans="1:9" ht="15.75" customHeight="1">
      <c r="A49" s="57"/>
      <c r="B49" s="57" t="s">
        <v>265</v>
      </c>
      <c r="C49" s="59">
        <f t="shared" si="4"/>
        <v>4768257.3622748526</v>
      </c>
      <c r="D49" s="59">
        <f t="shared" si="0"/>
        <v>51656.121424644232</v>
      </c>
      <c r="E49" s="59">
        <f t="shared" si="1"/>
        <v>98899.660535219562</v>
      </c>
      <c r="F49" s="59">
        <f t="shared" si="5"/>
        <v>150555.78195986379</v>
      </c>
      <c r="G49" s="59">
        <f t="shared" si="3"/>
        <v>4669357.7017396335</v>
      </c>
    </row>
    <row r="50" spans="1:9" ht="15.75" customHeight="1">
      <c r="A50" s="57"/>
      <c r="B50" s="57" t="s">
        <v>266</v>
      </c>
      <c r="C50" s="59">
        <f t="shared" si="4"/>
        <v>4669357.7017396335</v>
      </c>
      <c r="D50" s="59">
        <f t="shared" si="0"/>
        <v>50584.708435512701</v>
      </c>
      <c r="E50" s="59">
        <f t="shared" si="1"/>
        <v>99971.073524351086</v>
      </c>
      <c r="F50" s="59">
        <f t="shared" si="5"/>
        <v>150555.78195986379</v>
      </c>
      <c r="G50" s="59">
        <f t="shared" si="3"/>
        <v>4569386.6282152822</v>
      </c>
    </row>
    <row r="51" spans="1:9" ht="15.75" customHeight="1">
      <c r="A51" s="57"/>
      <c r="B51" s="57" t="s">
        <v>267</v>
      </c>
      <c r="C51" s="59">
        <f t="shared" si="4"/>
        <v>4569386.6282152822</v>
      </c>
      <c r="D51" s="59">
        <f t="shared" si="0"/>
        <v>49501.688472332229</v>
      </c>
      <c r="E51" s="59">
        <f t="shared" si="1"/>
        <v>101054.09348753156</v>
      </c>
      <c r="F51" s="59">
        <f t="shared" si="5"/>
        <v>150555.78195986379</v>
      </c>
      <c r="G51" s="59">
        <f t="shared" si="3"/>
        <v>4468332.5347277503</v>
      </c>
    </row>
    <row r="52" spans="1:9" ht="15.75" customHeight="1">
      <c r="A52" s="57"/>
      <c r="B52" s="57" t="s">
        <v>268</v>
      </c>
      <c r="C52" s="59">
        <f t="shared" si="4"/>
        <v>4468332.5347277503</v>
      </c>
      <c r="D52" s="59">
        <f t="shared" si="0"/>
        <v>48406.935792883967</v>
      </c>
      <c r="E52" s="59">
        <f t="shared" si="1"/>
        <v>102148.84616697981</v>
      </c>
      <c r="F52" s="59">
        <f t="shared" si="5"/>
        <v>150555.78195986379</v>
      </c>
      <c r="G52" s="59">
        <f t="shared" si="3"/>
        <v>4366183.6885607708</v>
      </c>
    </row>
    <row r="53" spans="1:9" ht="15.75" customHeight="1">
      <c r="A53" s="57"/>
      <c r="B53" s="57" t="s">
        <v>269</v>
      </c>
      <c r="C53" s="59">
        <f t="shared" si="4"/>
        <v>4366183.6885607708</v>
      </c>
      <c r="D53" s="59">
        <f t="shared" si="0"/>
        <v>47300.32329274169</v>
      </c>
      <c r="E53" s="59">
        <f t="shared" si="1"/>
        <v>103255.45866712209</v>
      </c>
      <c r="F53" s="59">
        <f t="shared" si="5"/>
        <v>150555.78195986379</v>
      </c>
      <c r="G53" s="59">
        <f t="shared" si="3"/>
        <v>4262928.229893649</v>
      </c>
    </row>
    <row r="54" spans="1:9" ht="15.75" customHeight="1">
      <c r="A54" s="57"/>
      <c r="B54" s="57" t="s">
        <v>270</v>
      </c>
      <c r="C54" s="59">
        <f t="shared" si="4"/>
        <v>4262928.229893649</v>
      </c>
      <c r="D54" s="59">
        <f t="shared" si="0"/>
        <v>46181.722490514534</v>
      </c>
      <c r="E54" s="59">
        <f t="shared" si="1"/>
        <v>104374.05946934925</v>
      </c>
      <c r="F54" s="59">
        <f t="shared" si="5"/>
        <v>150555.78195986379</v>
      </c>
      <c r="G54" s="59">
        <f t="shared" si="3"/>
        <v>4158554.1704242998</v>
      </c>
    </row>
    <row r="55" spans="1:9" ht="15.75" customHeight="1">
      <c r="A55" s="57"/>
      <c r="B55" s="57" t="s">
        <v>271</v>
      </c>
      <c r="C55" s="59">
        <f t="shared" si="4"/>
        <v>4158554.1704242998</v>
      </c>
      <c r="D55" s="59">
        <f t="shared" si="0"/>
        <v>45051.003512929914</v>
      </c>
      <c r="E55" s="59">
        <f t="shared" si="1"/>
        <v>105504.77844693387</v>
      </c>
      <c r="F55" s="59">
        <f t="shared" si="5"/>
        <v>150555.78195986379</v>
      </c>
      <c r="G55" s="59">
        <f t="shared" si="3"/>
        <v>4053049.3919773661</v>
      </c>
    </row>
    <row r="56" spans="1:9" ht="15.75" customHeight="1">
      <c r="A56" s="57"/>
      <c r="B56" s="57" t="s">
        <v>272</v>
      </c>
      <c r="C56" s="59">
        <f t="shared" si="4"/>
        <v>4053049.3919773661</v>
      </c>
      <c r="D56" s="59">
        <f t="shared" si="0"/>
        <v>43908.035079754802</v>
      </c>
      <c r="E56" s="59">
        <f t="shared" si="1"/>
        <v>106647.74688010899</v>
      </c>
      <c r="F56" s="59">
        <f t="shared" si="5"/>
        <v>150555.78195986379</v>
      </c>
      <c r="G56" s="59">
        <f t="shared" si="3"/>
        <v>3946401.6450972571</v>
      </c>
    </row>
    <row r="57" spans="1:9" ht="15.75" customHeight="1">
      <c r="A57" s="57"/>
      <c r="B57" s="57" t="s">
        <v>273</v>
      </c>
      <c r="C57" s="59">
        <f t="shared" si="4"/>
        <v>3946401.6450972571</v>
      </c>
      <c r="D57" s="59">
        <f t="shared" si="0"/>
        <v>42752.684488553619</v>
      </c>
      <c r="E57" s="59">
        <f t="shared" si="1"/>
        <v>107803.09747131018</v>
      </c>
      <c r="F57" s="59">
        <f t="shared" si="5"/>
        <v>150555.78195986379</v>
      </c>
      <c r="G57" s="59">
        <f t="shared" si="3"/>
        <v>3838598.5476259468</v>
      </c>
      <c r="H57" s="102"/>
      <c r="I57" s="102"/>
    </row>
    <row r="58" spans="1:9" ht="15.75" customHeight="1">
      <c r="A58" s="57" t="s">
        <v>274</v>
      </c>
      <c r="B58" s="57" t="s">
        <v>275</v>
      </c>
      <c r="C58" s="59">
        <f t="shared" si="4"/>
        <v>3838598.5476259468</v>
      </c>
      <c r="D58" s="59">
        <f t="shared" si="0"/>
        <v>41584.817599281094</v>
      </c>
      <c r="E58" s="59">
        <f t="shared" si="1"/>
        <v>108970.9643605827</v>
      </c>
      <c r="F58" s="59">
        <f t="shared" si="5"/>
        <v>150555.78195986379</v>
      </c>
      <c r="G58" s="59">
        <f t="shared" si="3"/>
        <v>3729627.5832653642</v>
      </c>
    </row>
    <row r="59" spans="1:9" ht="15.75" customHeight="1">
      <c r="A59" s="57"/>
      <c r="B59" s="57" t="s">
        <v>276</v>
      </c>
      <c r="C59" s="59">
        <f t="shared" si="4"/>
        <v>3729627.5832653642</v>
      </c>
      <c r="D59" s="59">
        <f t="shared" si="0"/>
        <v>40404.298818708114</v>
      </c>
      <c r="E59" s="59">
        <f t="shared" si="1"/>
        <v>110151.48314115568</v>
      </c>
      <c r="F59" s="59">
        <f t="shared" si="5"/>
        <v>150555.78195986379</v>
      </c>
      <c r="G59" s="59">
        <f t="shared" si="3"/>
        <v>3619476.1001242083</v>
      </c>
    </row>
    <row r="60" spans="1:9" ht="15.75" customHeight="1">
      <c r="A60" s="57"/>
      <c r="B60" s="57" t="s">
        <v>277</v>
      </c>
      <c r="C60" s="59">
        <f t="shared" si="4"/>
        <v>3619476.1001242083</v>
      </c>
      <c r="D60" s="59">
        <f t="shared" si="0"/>
        <v>39210.991084678921</v>
      </c>
      <c r="E60" s="59">
        <f t="shared" si="1"/>
        <v>111344.79087518487</v>
      </c>
      <c r="F60" s="59">
        <f t="shared" si="5"/>
        <v>150555.78195986379</v>
      </c>
      <c r="G60" s="59">
        <f t="shared" si="3"/>
        <v>3508131.3092490234</v>
      </c>
    </row>
    <row r="61" spans="1:9" ht="15.75" customHeight="1">
      <c r="A61" s="57"/>
      <c r="B61" s="57" t="s">
        <v>278</v>
      </c>
      <c r="C61" s="59">
        <f t="shared" si="4"/>
        <v>3508131.3092490234</v>
      </c>
      <c r="D61" s="59">
        <f t="shared" si="0"/>
        <v>38004.755850197755</v>
      </c>
      <c r="E61" s="59">
        <f t="shared" si="1"/>
        <v>112551.02610966604</v>
      </c>
      <c r="F61" s="59">
        <f t="shared" si="5"/>
        <v>150555.78195986379</v>
      </c>
      <c r="G61" s="59">
        <f t="shared" si="3"/>
        <v>3395580.2831393573</v>
      </c>
    </row>
    <row r="62" spans="1:9" ht="15.75" customHeight="1">
      <c r="A62" s="57"/>
      <c r="B62" s="57" t="s">
        <v>279</v>
      </c>
      <c r="C62" s="59">
        <f t="shared" si="4"/>
        <v>3395580.2831393573</v>
      </c>
      <c r="D62" s="59">
        <f t="shared" si="0"/>
        <v>36785.453067343034</v>
      </c>
      <c r="E62" s="59">
        <f t="shared" si="1"/>
        <v>113770.32889252075</v>
      </c>
      <c r="F62" s="59">
        <f t="shared" si="5"/>
        <v>150555.78195986379</v>
      </c>
      <c r="G62" s="59">
        <f t="shared" si="3"/>
        <v>3281809.9542468367</v>
      </c>
    </row>
    <row r="63" spans="1:9" ht="15.75" customHeight="1">
      <c r="A63" s="57"/>
      <c r="B63" s="57" t="s">
        <v>280</v>
      </c>
      <c r="C63" s="59">
        <f t="shared" si="4"/>
        <v>3281809.9542468367</v>
      </c>
      <c r="D63" s="59">
        <f t="shared" si="0"/>
        <v>35552.941171007398</v>
      </c>
      <c r="E63" s="59">
        <f t="shared" si="1"/>
        <v>115002.84078885638</v>
      </c>
      <c r="F63" s="59">
        <f t="shared" si="5"/>
        <v>150555.78195986379</v>
      </c>
      <c r="G63" s="59">
        <f t="shared" si="3"/>
        <v>3166807.1134579806</v>
      </c>
    </row>
    <row r="64" spans="1:9" ht="15.75" customHeight="1">
      <c r="A64" s="57"/>
      <c r="B64" s="57" t="s">
        <v>281</v>
      </c>
      <c r="C64" s="59">
        <f t="shared" si="4"/>
        <v>3166807.1134579806</v>
      </c>
      <c r="D64" s="59">
        <f t="shared" si="0"/>
        <v>34307.07706246146</v>
      </c>
      <c r="E64" s="59">
        <f t="shared" si="1"/>
        <v>116248.70489740232</v>
      </c>
      <c r="F64" s="59">
        <f t="shared" si="5"/>
        <v>150555.78195986379</v>
      </c>
      <c r="G64" s="59">
        <f t="shared" si="3"/>
        <v>3050558.4085605782</v>
      </c>
    </row>
    <row r="65" spans="1:9" ht="15.75" customHeight="1">
      <c r="A65" s="57"/>
      <c r="B65" s="57" t="s">
        <v>282</v>
      </c>
      <c r="C65" s="59">
        <f t="shared" si="4"/>
        <v>3050558.4085605782</v>
      </c>
      <c r="D65" s="59">
        <f t="shared" si="0"/>
        <v>33047.716092739596</v>
      </c>
      <c r="E65" s="59">
        <f t="shared" si="1"/>
        <v>117508.06586712418</v>
      </c>
      <c r="F65" s="59">
        <f t="shared" si="5"/>
        <v>150555.78195986379</v>
      </c>
      <c r="G65" s="59">
        <f t="shared" si="3"/>
        <v>2933050.3426934541</v>
      </c>
    </row>
    <row r="66" spans="1:9" ht="15.75" customHeight="1">
      <c r="A66" s="57"/>
      <c r="B66" s="57" t="s">
        <v>283</v>
      </c>
      <c r="C66" s="59">
        <f t="shared" si="4"/>
        <v>2933050.3426934541</v>
      </c>
      <c r="D66" s="59">
        <f t="shared" si="0"/>
        <v>31774.712045845754</v>
      </c>
      <c r="E66" s="59">
        <f t="shared" si="1"/>
        <v>118781.06991401804</v>
      </c>
      <c r="F66" s="59">
        <f t="shared" si="5"/>
        <v>150555.78195986379</v>
      </c>
      <c r="G66" s="59">
        <f t="shared" si="3"/>
        <v>2814269.2727794359</v>
      </c>
    </row>
    <row r="67" spans="1:9" ht="15.75" customHeight="1">
      <c r="A67" s="57"/>
      <c r="B67" s="57" t="s">
        <v>284</v>
      </c>
      <c r="C67" s="59">
        <f t="shared" si="4"/>
        <v>2814269.2727794359</v>
      </c>
      <c r="D67" s="59">
        <f t="shared" si="0"/>
        <v>30487.917121777224</v>
      </c>
      <c r="E67" s="59">
        <f t="shared" si="1"/>
        <v>120067.86483808656</v>
      </c>
      <c r="F67" s="59">
        <f t="shared" si="5"/>
        <v>150555.78195986379</v>
      </c>
      <c r="G67" s="59">
        <f t="shared" si="3"/>
        <v>2694201.4079413493</v>
      </c>
    </row>
    <row r="68" spans="1:9" ht="15.75" customHeight="1">
      <c r="A68" s="57"/>
      <c r="B68" s="57" t="s">
        <v>285</v>
      </c>
      <c r="C68" s="59">
        <f t="shared" si="4"/>
        <v>2694201.4079413493</v>
      </c>
      <c r="D68" s="59">
        <f t="shared" si="0"/>
        <v>29187.181919364619</v>
      </c>
      <c r="E68" s="59">
        <f t="shared" si="1"/>
        <v>121368.60004049916</v>
      </c>
      <c r="F68" s="59">
        <f t="shared" si="5"/>
        <v>150555.78195986379</v>
      </c>
      <c r="G68" s="59">
        <f t="shared" si="3"/>
        <v>2572832.8079008502</v>
      </c>
    </row>
    <row r="69" spans="1:9" ht="15.75" customHeight="1">
      <c r="A69" s="57"/>
      <c r="B69" s="57" t="s">
        <v>286</v>
      </c>
      <c r="C69" s="59">
        <f t="shared" si="4"/>
        <v>2572832.8079008502</v>
      </c>
      <c r="D69" s="59">
        <f t="shared" si="0"/>
        <v>27872.355418925876</v>
      </c>
      <c r="E69" s="59">
        <f t="shared" si="1"/>
        <v>122683.42654093791</v>
      </c>
      <c r="F69" s="59">
        <f t="shared" si="5"/>
        <v>150555.78195986379</v>
      </c>
      <c r="G69" s="59">
        <f t="shared" si="3"/>
        <v>2450149.3813599125</v>
      </c>
      <c r="H69" s="102"/>
      <c r="I69" s="102"/>
    </row>
    <row r="70" spans="1:9" ht="15.75" customHeight="1">
      <c r="A70" s="57" t="s">
        <v>287</v>
      </c>
      <c r="B70" s="57" t="s">
        <v>288</v>
      </c>
      <c r="C70" s="59">
        <f t="shared" si="4"/>
        <v>2450149.3813599125</v>
      </c>
      <c r="D70" s="59">
        <f t="shared" si="0"/>
        <v>26543.284964732386</v>
      </c>
      <c r="E70" s="59">
        <f t="shared" si="1"/>
        <v>124012.4969951314</v>
      </c>
      <c r="F70" s="59">
        <f t="shared" si="5"/>
        <v>150555.78195986379</v>
      </c>
      <c r="G70" s="59">
        <f t="shared" si="3"/>
        <v>2326136.884364781</v>
      </c>
    </row>
    <row r="71" spans="1:9" ht="15.75" customHeight="1">
      <c r="A71" s="57"/>
      <c r="B71" s="57" t="s">
        <v>289</v>
      </c>
      <c r="C71" s="59">
        <f t="shared" si="4"/>
        <v>2326136.884364781</v>
      </c>
      <c r="D71" s="59">
        <f t="shared" si="0"/>
        <v>25199.816247285129</v>
      </c>
      <c r="E71" s="59">
        <f t="shared" si="1"/>
        <v>125355.96571257866</v>
      </c>
      <c r="F71" s="59">
        <f t="shared" si="5"/>
        <v>150555.78195986379</v>
      </c>
      <c r="G71" s="59">
        <f t="shared" si="3"/>
        <v>2200780.9186522025</v>
      </c>
    </row>
    <row r="72" spans="1:9" ht="15.75" customHeight="1">
      <c r="A72" s="57"/>
      <c r="B72" s="57" t="s">
        <v>290</v>
      </c>
      <c r="C72" s="59">
        <f t="shared" si="4"/>
        <v>2200780.9186522025</v>
      </c>
      <c r="D72" s="59">
        <f t="shared" si="0"/>
        <v>23841.79328539886</v>
      </c>
      <c r="E72" s="59">
        <f t="shared" si="1"/>
        <v>126713.98867446493</v>
      </c>
      <c r="F72" s="59">
        <f t="shared" si="5"/>
        <v>150555.78195986379</v>
      </c>
      <c r="G72" s="59">
        <f t="shared" si="3"/>
        <v>2074066.9299777376</v>
      </c>
    </row>
    <row r="73" spans="1:9" ht="15.75" customHeight="1">
      <c r="A73" s="57"/>
      <c r="B73" s="57" t="s">
        <v>291</v>
      </c>
      <c r="C73" s="59">
        <f t="shared" si="4"/>
        <v>2074066.9299777376</v>
      </c>
      <c r="D73" s="59">
        <f t="shared" si="0"/>
        <v>22469.058408092158</v>
      </c>
      <c r="E73" s="59">
        <f t="shared" si="1"/>
        <v>128086.72355177163</v>
      </c>
      <c r="F73" s="59">
        <f t="shared" si="5"/>
        <v>150555.78195986379</v>
      </c>
      <c r="G73" s="59">
        <f t="shared" si="3"/>
        <v>1945980.206425966</v>
      </c>
    </row>
    <row r="74" spans="1:9" ht="15.75" customHeight="1">
      <c r="A74" s="57"/>
      <c r="B74" s="57" t="s">
        <v>292</v>
      </c>
      <c r="C74" s="59">
        <f t="shared" si="4"/>
        <v>1945980.206425966</v>
      </c>
      <c r="D74" s="59">
        <f t="shared" si="0"/>
        <v>21081.452236281297</v>
      </c>
      <c r="E74" s="59">
        <f t="shared" si="1"/>
        <v>129474.32972358249</v>
      </c>
      <c r="F74" s="59">
        <f t="shared" si="5"/>
        <v>150555.78195986379</v>
      </c>
      <c r="G74" s="59">
        <f t="shared" si="3"/>
        <v>1816505.8767023836</v>
      </c>
    </row>
    <row r="75" spans="1:9" ht="15.75" customHeight="1">
      <c r="A75" s="57"/>
      <c r="B75" s="57" t="s">
        <v>293</v>
      </c>
      <c r="C75" s="59">
        <f t="shared" si="4"/>
        <v>1816505.8767023836</v>
      </c>
      <c r="D75" s="59">
        <f t="shared" si="0"/>
        <v>19678.813664275822</v>
      </c>
      <c r="E75" s="59">
        <f t="shared" si="1"/>
        <v>130876.96829558797</v>
      </c>
      <c r="F75" s="59">
        <f t="shared" si="5"/>
        <v>150555.78195986379</v>
      </c>
      <c r="G75" s="59">
        <f t="shared" si="3"/>
        <v>1685628.9084067957</v>
      </c>
    </row>
    <row r="76" spans="1:9" ht="15.75" customHeight="1">
      <c r="A76" s="57"/>
      <c r="B76" s="57" t="s">
        <v>294</v>
      </c>
      <c r="C76" s="59">
        <f t="shared" si="4"/>
        <v>1685628.9084067957</v>
      </c>
      <c r="D76" s="59">
        <f t="shared" si="0"/>
        <v>18260.979841073622</v>
      </c>
      <c r="E76" s="59">
        <f t="shared" si="1"/>
        <v>132294.80211879016</v>
      </c>
      <c r="F76" s="59">
        <f t="shared" si="5"/>
        <v>150555.78195986379</v>
      </c>
      <c r="G76" s="59">
        <f t="shared" si="3"/>
        <v>1553334.1062880056</v>
      </c>
    </row>
    <row r="77" spans="1:9" ht="15.75" customHeight="1">
      <c r="A77" s="57"/>
      <c r="B77" s="57" t="s">
        <v>295</v>
      </c>
      <c r="C77" s="59">
        <f t="shared" si="4"/>
        <v>1553334.1062880056</v>
      </c>
      <c r="D77" s="59">
        <f t="shared" si="0"/>
        <v>16827.786151453394</v>
      </c>
      <c r="E77" s="59">
        <f t="shared" si="1"/>
        <v>133727.9958084104</v>
      </c>
      <c r="F77" s="59">
        <f t="shared" si="5"/>
        <v>150555.78195986379</v>
      </c>
      <c r="G77" s="59">
        <f t="shared" si="3"/>
        <v>1419606.1104795951</v>
      </c>
    </row>
    <row r="78" spans="1:9" ht="15.75" customHeight="1">
      <c r="A78" s="57"/>
      <c r="B78" s="57" t="s">
        <v>296</v>
      </c>
      <c r="C78" s="59">
        <f t="shared" si="4"/>
        <v>1419606.1104795951</v>
      </c>
      <c r="D78" s="59">
        <f t="shared" si="0"/>
        <v>15379.066196862281</v>
      </c>
      <c r="E78" s="59">
        <f t="shared" si="1"/>
        <v>135176.7157630015</v>
      </c>
      <c r="F78" s="59">
        <f t="shared" si="5"/>
        <v>150555.78195986379</v>
      </c>
      <c r="G78" s="59">
        <f t="shared" si="3"/>
        <v>1284429.3947165937</v>
      </c>
    </row>
    <row r="79" spans="1:9" ht="15.75" customHeight="1">
      <c r="A79" s="57"/>
      <c r="B79" s="57" t="s">
        <v>297</v>
      </c>
      <c r="C79" s="59">
        <f t="shared" si="4"/>
        <v>1284429.3947165937</v>
      </c>
      <c r="D79" s="59">
        <f t="shared" si="0"/>
        <v>13914.651776096433</v>
      </c>
      <c r="E79" s="59">
        <f t="shared" si="1"/>
        <v>136641.13018376735</v>
      </c>
      <c r="F79" s="59">
        <f t="shared" si="5"/>
        <v>150555.78195986379</v>
      </c>
      <c r="G79" s="59">
        <f t="shared" si="3"/>
        <v>1147788.2645328264</v>
      </c>
    </row>
    <row r="80" spans="1:9" ht="15.75" customHeight="1">
      <c r="A80" s="57"/>
      <c r="B80" s="57" t="s">
        <v>298</v>
      </c>
      <c r="C80" s="59">
        <f t="shared" si="4"/>
        <v>1147788.2645328264</v>
      </c>
      <c r="D80" s="59">
        <f t="shared" si="0"/>
        <v>12434.372865772288</v>
      </c>
      <c r="E80" s="59">
        <f t="shared" si="1"/>
        <v>138121.4090940915</v>
      </c>
      <c r="F80" s="59">
        <f t="shared" si="5"/>
        <v>150555.78195986379</v>
      </c>
      <c r="G80" s="59">
        <f t="shared" si="3"/>
        <v>1009666.8554387349</v>
      </c>
    </row>
    <row r="81" spans="1:9" ht="15.75" customHeight="1">
      <c r="A81" s="57"/>
      <c r="B81" s="57" t="s">
        <v>299</v>
      </c>
      <c r="C81" s="59">
        <f t="shared" si="4"/>
        <v>1009666.8554387349</v>
      </c>
      <c r="D81" s="59">
        <f t="shared" si="0"/>
        <v>10938.057600586295</v>
      </c>
      <c r="E81" s="59">
        <f t="shared" si="1"/>
        <v>139617.72435927749</v>
      </c>
      <c r="F81" s="59">
        <f t="shared" si="5"/>
        <v>150555.78195986379</v>
      </c>
      <c r="G81" s="59">
        <f t="shared" si="3"/>
        <v>870049.13107945735</v>
      </c>
      <c r="H81" s="102"/>
      <c r="I81" s="102"/>
    </row>
    <row r="82" spans="1:9" ht="15.75" customHeight="1">
      <c r="A82" s="57" t="s">
        <v>300</v>
      </c>
      <c r="B82" s="57" t="s">
        <v>301</v>
      </c>
      <c r="C82" s="59">
        <f t="shared" si="4"/>
        <v>870049.13107945735</v>
      </c>
      <c r="D82" s="59">
        <f t="shared" si="0"/>
        <v>9425.5322533607887</v>
      </c>
      <c r="E82" s="59">
        <f t="shared" si="1"/>
        <v>141130.249706503</v>
      </c>
      <c r="F82" s="59">
        <f t="shared" si="5"/>
        <v>150555.78195986379</v>
      </c>
      <c r="G82" s="59">
        <f t="shared" si="3"/>
        <v>728918.88137295435</v>
      </c>
    </row>
    <row r="83" spans="1:9" ht="15.75" customHeight="1">
      <c r="A83" s="57"/>
      <c r="B83" s="57" t="s">
        <v>302</v>
      </c>
      <c r="C83" s="59">
        <f t="shared" si="4"/>
        <v>728918.88137295435</v>
      </c>
      <c r="D83" s="59">
        <f t="shared" si="0"/>
        <v>7896.6212148736731</v>
      </c>
      <c r="E83" s="59">
        <f t="shared" si="1"/>
        <v>142659.16074499011</v>
      </c>
      <c r="F83" s="59">
        <f t="shared" si="5"/>
        <v>150555.78195986379</v>
      </c>
      <c r="G83" s="59">
        <f t="shared" si="3"/>
        <v>586259.72062796424</v>
      </c>
    </row>
    <row r="84" spans="1:9" ht="15.75" customHeight="1">
      <c r="A84" s="57"/>
      <c r="B84" s="57" t="s">
        <v>303</v>
      </c>
      <c r="C84" s="59">
        <f t="shared" si="4"/>
        <v>586259.72062796424</v>
      </c>
      <c r="D84" s="59">
        <f t="shared" si="0"/>
        <v>6351.146973469612</v>
      </c>
      <c r="E84" s="59">
        <f t="shared" si="1"/>
        <v>144204.63498639417</v>
      </c>
      <c r="F84" s="59">
        <f t="shared" si="5"/>
        <v>150555.78195986379</v>
      </c>
      <c r="G84" s="59">
        <f t="shared" si="3"/>
        <v>442055.08564157004</v>
      </c>
    </row>
    <row r="85" spans="1:9" ht="15.75" customHeight="1">
      <c r="A85" s="57"/>
      <c r="B85" s="57" t="s">
        <v>304</v>
      </c>
      <c r="C85" s="59">
        <f t="shared" si="4"/>
        <v>442055.08564157004</v>
      </c>
      <c r="D85" s="59">
        <f t="shared" si="0"/>
        <v>4788.930094450342</v>
      </c>
      <c r="E85" s="59">
        <f t="shared" si="1"/>
        <v>145766.85186541345</v>
      </c>
      <c r="F85" s="59">
        <f t="shared" si="5"/>
        <v>150555.78195986379</v>
      </c>
      <c r="G85" s="59">
        <f t="shared" si="3"/>
        <v>296288.23377615656</v>
      </c>
    </row>
    <row r="86" spans="1:9" ht="15.75" customHeight="1">
      <c r="A86" s="57"/>
      <c r="B86" s="57" t="s">
        <v>305</v>
      </c>
      <c r="C86" s="59">
        <f t="shared" si="4"/>
        <v>296288.23377615656</v>
      </c>
      <c r="D86" s="59">
        <f t="shared" si="0"/>
        <v>3209.7891992416958</v>
      </c>
      <c r="E86" s="59">
        <f t="shared" si="1"/>
        <v>147345.99276062209</v>
      </c>
      <c r="F86" s="59">
        <f t="shared" si="5"/>
        <v>150555.78195986379</v>
      </c>
      <c r="G86" s="59">
        <f t="shared" si="3"/>
        <v>148942.24101553447</v>
      </c>
    </row>
    <row r="87" spans="1:9" ht="15.75" customHeight="1">
      <c r="A87" s="57"/>
      <c r="B87" s="57" t="s">
        <v>306</v>
      </c>
      <c r="C87" s="59">
        <f t="shared" si="4"/>
        <v>148942.24101553447</v>
      </c>
      <c r="D87" s="59">
        <f t="shared" si="0"/>
        <v>1613.540944334957</v>
      </c>
      <c r="E87" s="59">
        <f t="shared" si="1"/>
        <v>148942.24101552882</v>
      </c>
      <c r="F87" s="59">
        <f t="shared" si="5"/>
        <v>150555.78195986379</v>
      </c>
      <c r="G87" s="59">
        <f t="shared" si="3"/>
        <v>5.6461431086063385E-9</v>
      </c>
    </row>
    <row r="88" spans="1:9" ht="15.75" hidden="1" customHeight="1">
      <c r="A88" s="57"/>
      <c r="B88" s="57" t="s">
        <v>307</v>
      </c>
      <c r="C88" s="59">
        <f t="shared" si="4"/>
        <v>5.6461431086063385E-9</v>
      </c>
      <c r="D88" s="59">
        <f t="shared" si="0"/>
        <v>6.1166550343235344E-11</v>
      </c>
      <c r="E88" s="59">
        <f t="shared" si="1"/>
        <v>-6.1166550343235344E-11</v>
      </c>
      <c r="F88" s="59">
        <v>0</v>
      </c>
      <c r="G88" s="59">
        <f t="shared" si="3"/>
        <v>5.7073096589495736E-9</v>
      </c>
    </row>
    <row r="89" spans="1:9" ht="15.75" hidden="1" customHeight="1">
      <c r="A89" s="57"/>
      <c r="B89" s="57" t="s">
        <v>308</v>
      </c>
      <c r="C89" s="59">
        <f t="shared" si="4"/>
        <v>5.7073096589495736E-9</v>
      </c>
      <c r="D89" s="59">
        <f t="shared" si="0"/>
        <v>6.1829187971953709E-11</v>
      </c>
      <c r="E89" s="59">
        <f t="shared" si="1"/>
        <v>-6.1829187971953709E-11</v>
      </c>
      <c r="F89" s="59">
        <v>0</v>
      </c>
      <c r="G89" s="59">
        <f t="shared" si="3"/>
        <v>5.7691388469215272E-9</v>
      </c>
    </row>
    <row r="90" spans="1:9" ht="15.75" hidden="1" customHeight="1">
      <c r="A90" s="57"/>
      <c r="B90" s="57" t="s">
        <v>309</v>
      </c>
      <c r="C90" s="59">
        <f t="shared" si="4"/>
        <v>5.7691388469215272E-9</v>
      </c>
      <c r="D90" s="59">
        <f t="shared" si="0"/>
        <v>6.2499004174983206E-11</v>
      </c>
      <c r="E90" s="59">
        <f t="shared" si="1"/>
        <v>-6.2499004174983206E-11</v>
      </c>
      <c r="F90" s="59">
        <v>0</v>
      </c>
      <c r="G90" s="59">
        <f t="shared" si="3"/>
        <v>5.8316378510965107E-9</v>
      </c>
    </row>
    <row r="91" spans="1:9" ht="15.75" hidden="1" customHeight="1">
      <c r="A91" s="57"/>
      <c r="B91" s="57" t="s">
        <v>310</v>
      </c>
      <c r="C91" s="59">
        <f t="shared" si="4"/>
        <v>5.8316378510965107E-9</v>
      </c>
      <c r="D91" s="59">
        <f t="shared" si="0"/>
        <v>6.3176076720212206E-11</v>
      </c>
      <c r="E91" s="59">
        <f t="shared" si="1"/>
        <v>-6.3176076720212206E-11</v>
      </c>
      <c r="F91" s="59">
        <v>0</v>
      </c>
      <c r="G91" s="59">
        <f t="shared" si="3"/>
        <v>5.8948139278167227E-9</v>
      </c>
    </row>
    <row r="92" spans="1:9" ht="15.75" hidden="1" customHeight="1">
      <c r="A92" s="57"/>
      <c r="B92" s="57" t="s">
        <v>311</v>
      </c>
      <c r="C92" s="59">
        <f t="shared" si="4"/>
        <v>5.8948139278167227E-9</v>
      </c>
      <c r="D92" s="59">
        <f t="shared" si="0"/>
        <v>6.3860484218014496E-11</v>
      </c>
      <c r="E92" s="59">
        <f t="shared" si="1"/>
        <v>-6.3860484218014496E-11</v>
      </c>
      <c r="F92" s="59">
        <v>0</v>
      </c>
      <c r="G92" s="59">
        <f t="shared" si="3"/>
        <v>5.958674412034737E-9</v>
      </c>
    </row>
    <row r="93" spans="1:9" ht="15.75" hidden="1" customHeight="1">
      <c r="A93" s="57"/>
      <c r="B93" s="57" t="s">
        <v>312</v>
      </c>
      <c r="C93" s="59">
        <f t="shared" si="4"/>
        <v>5.958674412034737E-9</v>
      </c>
      <c r="D93" s="59">
        <f t="shared" si="0"/>
        <v>6.4552306130376317E-11</v>
      </c>
      <c r="E93" s="59">
        <f t="shared" si="1"/>
        <v>-6.4552306130376317E-11</v>
      </c>
      <c r="F93" s="59">
        <v>0</v>
      </c>
      <c r="G93" s="59">
        <f t="shared" si="3"/>
        <v>6.0232267181651136E-9</v>
      </c>
    </row>
    <row r="94" spans="1:9" ht="15.75" customHeight="1">
      <c r="A94" s="52"/>
      <c r="B94" s="52"/>
      <c r="C94" s="52"/>
      <c r="D94" s="103">
        <f t="shared" ref="D94:E94" si="6">SUM(D10:D93)</f>
        <v>3827516.6312728524</v>
      </c>
      <c r="E94" s="103">
        <f t="shared" si="6"/>
        <v>7499999.6468848595</v>
      </c>
      <c r="F94" s="52"/>
      <c r="G94" s="52"/>
    </row>
    <row r="95" spans="1:9" ht="39.75" customHeight="1">
      <c r="A95" s="287" t="s">
        <v>313</v>
      </c>
      <c r="B95" s="251"/>
      <c r="C95" s="251"/>
      <c r="D95" s="251"/>
      <c r="E95" s="251"/>
      <c r="F95" s="251"/>
      <c r="G95" s="251"/>
      <c r="H95" s="251"/>
    </row>
    <row r="96" spans="1:9" ht="15.75" customHeight="1">
      <c r="A96" t="s">
        <v>314</v>
      </c>
    </row>
    <row r="97" spans="1:2" ht="15.75" customHeight="1">
      <c r="A97">
        <v>1</v>
      </c>
      <c r="B97" s="192" t="s">
        <v>741</v>
      </c>
    </row>
    <row r="98" spans="1:2" ht="15.75" customHeight="1">
      <c r="A98">
        <v>2</v>
      </c>
      <c r="B98" t="s">
        <v>315</v>
      </c>
    </row>
    <row r="99" spans="1:2" ht="15.75" customHeight="1"/>
    <row r="100" spans="1:2" ht="15.75" customHeight="1"/>
  </sheetData>
  <mergeCells count="2">
    <mergeCell ref="A2:G2"/>
    <mergeCell ref="A95:H95"/>
  </mergeCells>
  <pageMargins left="0.7" right="0.7" top="0.75" bottom="0.75" header="0" footer="0"/>
  <pageSetup scale="59" orientation="portrait" r:id="rId1"/>
  <rowBreaks count="1" manualBreakCount="1">
    <brk id="57"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96"/>
  <sheetViews>
    <sheetView view="pageBreakPreview" topLeftCell="B27" zoomScale="60" workbookViewId="0">
      <selection activeCell="B1" sqref="B1"/>
    </sheetView>
  </sheetViews>
  <sheetFormatPr defaultColWidth="14.42578125" defaultRowHeight="15" customHeight="1"/>
  <cols>
    <col min="1" max="1" width="8.7109375" hidden="1" customWidth="1"/>
    <col min="2" max="2" width="7.5703125" customWidth="1"/>
    <col min="3" max="3" width="30.5703125" customWidth="1"/>
    <col min="4" max="4" width="16.85546875" customWidth="1"/>
    <col min="5" max="5" width="17.85546875" customWidth="1"/>
    <col min="6" max="6" width="16" customWidth="1"/>
    <col min="7" max="7" width="20.42578125" customWidth="1"/>
    <col min="8" max="8" width="23.140625" customWidth="1"/>
    <col min="9" max="9" width="26.85546875" customWidth="1"/>
    <col min="10" max="10" width="29.42578125" customWidth="1"/>
    <col min="11" max="11" width="32.140625" customWidth="1"/>
    <col min="12" max="13" width="8.710937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8.7109375" hidden="1" customWidth="1"/>
    <col min="21" max="21" width="24" hidden="1" customWidth="1"/>
    <col min="22" max="22" width="12.5703125" hidden="1" customWidth="1"/>
  </cols>
  <sheetData>
    <row r="2" spans="3:22" ht="18.75">
      <c r="C2" s="267" t="s">
        <v>316</v>
      </c>
      <c r="D2" s="251"/>
      <c r="E2" s="251"/>
      <c r="F2" s="251"/>
      <c r="G2" s="251"/>
      <c r="H2" s="251"/>
      <c r="I2" s="251"/>
      <c r="J2" s="251"/>
      <c r="K2" s="251"/>
      <c r="L2" s="104"/>
    </row>
    <row r="4" spans="3:22">
      <c r="C4" s="105" t="s">
        <v>150</v>
      </c>
      <c r="D4" s="105"/>
      <c r="E4" s="106" t="s">
        <v>153</v>
      </c>
      <c r="F4" s="106" t="s">
        <v>154</v>
      </c>
      <c r="G4" s="106" t="s">
        <v>155</v>
      </c>
      <c r="H4" s="106" t="s">
        <v>156</v>
      </c>
      <c r="I4" s="106" t="s">
        <v>157</v>
      </c>
      <c r="J4" s="106" t="s">
        <v>158</v>
      </c>
      <c r="K4" s="106" t="s">
        <v>159</v>
      </c>
      <c r="L4" s="52"/>
      <c r="M4" s="52"/>
      <c r="N4" s="107"/>
      <c r="O4" s="107"/>
      <c r="P4" s="107"/>
      <c r="Q4" s="107"/>
      <c r="R4" s="107"/>
      <c r="S4" s="107"/>
      <c r="T4" s="107"/>
      <c r="U4" s="107"/>
      <c r="V4" s="107"/>
    </row>
    <row r="5" spans="3:22">
      <c r="C5" s="57" t="s">
        <v>317</v>
      </c>
      <c r="D5" s="57"/>
      <c r="E5" s="57"/>
      <c r="F5" s="57"/>
      <c r="G5" s="57"/>
      <c r="H5" s="57"/>
      <c r="I5" s="57"/>
      <c r="J5" s="57"/>
      <c r="K5" s="57"/>
      <c r="L5" s="52"/>
      <c r="M5" s="52"/>
      <c r="N5" s="288" t="s">
        <v>318</v>
      </c>
      <c r="O5" s="276"/>
      <c r="P5" s="276"/>
      <c r="Q5" s="276"/>
      <c r="R5" s="277"/>
      <c r="S5" s="107"/>
      <c r="T5" s="107"/>
      <c r="U5" s="288" t="s">
        <v>319</v>
      </c>
      <c r="V5" s="277"/>
    </row>
    <row r="6" spans="3:22">
      <c r="C6" s="57" t="s">
        <v>320</v>
      </c>
      <c r="D6" s="108"/>
      <c r="E6" s="57"/>
      <c r="F6" s="59">
        <f t="shared" ref="F6:K6" si="0">E14</f>
        <v>0</v>
      </c>
      <c r="G6" s="59">
        <f t="shared" si="0"/>
        <v>0</v>
      </c>
      <c r="H6" s="59">
        <f t="shared" si="0"/>
        <v>0</v>
      </c>
      <c r="I6" s="59">
        <f t="shared" si="0"/>
        <v>0</v>
      </c>
      <c r="J6" s="59">
        <f t="shared" si="0"/>
        <v>0</v>
      </c>
      <c r="K6" s="59">
        <f t="shared" si="0"/>
        <v>0</v>
      </c>
      <c r="L6" s="52"/>
      <c r="M6" s="52"/>
      <c r="N6" s="289" t="s">
        <v>321</v>
      </c>
      <c r="O6" s="294"/>
      <c r="P6" s="294"/>
      <c r="Q6" s="294"/>
      <c r="R6" s="266"/>
      <c r="S6" s="107"/>
      <c r="T6" s="107"/>
      <c r="U6" s="289" t="s">
        <v>321</v>
      </c>
      <c r="V6" s="266"/>
    </row>
    <row r="7" spans="3:22">
      <c r="C7" s="57" t="s">
        <v>322</v>
      </c>
      <c r="D7" s="108"/>
      <c r="E7" s="57"/>
      <c r="F7" s="59">
        <f t="shared" ref="F7:K7" si="1">E15</f>
        <v>3624288.1168439072</v>
      </c>
      <c r="G7" s="59">
        <f t="shared" si="1"/>
        <v>4076418.0594201847</v>
      </c>
      <c r="H7" s="59">
        <f t="shared" si="1"/>
        <v>4533984.4341717279</v>
      </c>
      <c r="I7" s="59">
        <f t="shared" si="1"/>
        <v>5006047.9613906471</v>
      </c>
      <c r="J7" s="59">
        <f t="shared" si="1"/>
        <v>5492608.6410769429</v>
      </c>
      <c r="K7" s="59">
        <f t="shared" si="1"/>
        <v>5993666.4732306134</v>
      </c>
      <c r="L7" s="52"/>
      <c r="M7" s="52"/>
      <c r="N7" s="109" t="s">
        <v>150</v>
      </c>
      <c r="O7" s="109" t="s">
        <v>323</v>
      </c>
      <c r="P7" s="109" t="s">
        <v>324</v>
      </c>
      <c r="Q7" s="109" t="s">
        <v>325</v>
      </c>
      <c r="R7" s="109" t="s">
        <v>326</v>
      </c>
      <c r="S7" s="107"/>
      <c r="T7" s="107"/>
      <c r="U7" s="110" t="s">
        <v>150</v>
      </c>
      <c r="V7" s="110" t="s">
        <v>327</v>
      </c>
    </row>
    <row r="8" spans="3:22">
      <c r="C8" s="57" t="s">
        <v>328</v>
      </c>
      <c r="D8" s="108"/>
      <c r="E8" s="57"/>
      <c r="F8" s="59">
        <f t="shared" ref="F8:K8" si="2">E16</f>
        <v>335255.19104396401</v>
      </c>
      <c r="G8" s="59">
        <f t="shared" si="2"/>
        <v>376156.32435132755</v>
      </c>
      <c r="H8" s="59">
        <f t="shared" si="2"/>
        <v>418398.47842286713</v>
      </c>
      <c r="I8" s="59">
        <f t="shared" si="2"/>
        <v>461981.65325858246</v>
      </c>
      <c r="J8" s="59">
        <f t="shared" si="2"/>
        <v>506905.84885847353</v>
      </c>
      <c r="K8" s="59">
        <f t="shared" si="2"/>
        <v>553171.06522254064</v>
      </c>
      <c r="L8" s="52"/>
      <c r="M8" s="52"/>
      <c r="N8" s="111" t="s">
        <v>329</v>
      </c>
      <c r="O8" s="112">
        <f>'13.Facility 2 Grain Processing'!C152</f>
        <v>5500</v>
      </c>
      <c r="P8" s="112">
        <f>'13.Facility 2 Grain Processing'!C153</f>
        <v>6500</v>
      </c>
      <c r="Q8" s="112">
        <f>'13.Facility 2 Grain Processing'!C154</f>
        <v>7000</v>
      </c>
      <c r="R8" s="112">
        <f>'13.Facility 2 Grain Processing'!C155</f>
        <v>6500</v>
      </c>
      <c r="S8" s="107"/>
      <c r="T8" s="107"/>
      <c r="U8" s="111" t="s">
        <v>330</v>
      </c>
      <c r="V8" s="112">
        <f>'17.Facility 6 Horti Processing '!C163</f>
        <v>6000</v>
      </c>
    </row>
    <row r="9" spans="3:22">
      <c r="C9" s="57"/>
      <c r="D9" s="57"/>
      <c r="E9" s="57"/>
      <c r="F9" s="59"/>
      <c r="G9" s="59"/>
      <c r="H9" s="59"/>
      <c r="I9" s="59"/>
      <c r="J9" s="59"/>
      <c r="K9" s="59"/>
      <c r="L9" s="52"/>
      <c r="M9" s="52"/>
      <c r="N9" s="111" t="str">
        <f>'13.Facility 2 Grain Processing'!A157</f>
        <v xml:space="preserve">Daily Labour </v>
      </c>
      <c r="O9" s="114">
        <f>('13.Facility 2 Grain Processing'!B157*'13.Facility 2 Grain Processing'!C157)/('13.Facility 2 Grain Processing'!B5*'13.Facility 2 Grain Processing'!B6)</f>
        <v>5.625</v>
      </c>
      <c r="P9" s="114">
        <f t="shared" ref="P9:R9" si="3">O9</f>
        <v>5.625</v>
      </c>
      <c r="Q9" s="114">
        <f t="shared" si="3"/>
        <v>5.625</v>
      </c>
      <c r="R9" s="114">
        <f t="shared" si="3"/>
        <v>5.625</v>
      </c>
      <c r="S9" s="107"/>
      <c r="T9" s="107"/>
      <c r="U9" s="111" t="str">
        <f>'17.Facility 6 Horti Processing '!A165</f>
        <v xml:space="preserve">Daily Labour </v>
      </c>
      <c r="V9" s="113">
        <f>'17.Facility 6 Horti Processing '!B165*'17.Facility 6 Horti Processing '!C165/('17.Facility 6 Horti Processing '!B5*'17.Facility 6 Horti Processing '!B6)</f>
        <v>187.5</v>
      </c>
    </row>
    <row r="10" spans="3:22">
      <c r="C10" s="57"/>
      <c r="D10" s="57"/>
      <c r="E10" s="57"/>
      <c r="F10" s="59"/>
      <c r="G10" s="59"/>
      <c r="H10" s="59"/>
      <c r="I10" s="59"/>
      <c r="J10" s="59"/>
      <c r="K10" s="59"/>
      <c r="L10" s="52"/>
      <c r="M10" s="52"/>
      <c r="N10" s="111" t="str">
        <f>'13.Facility 2 Grain Processing'!A158</f>
        <v>Electricity Charges</v>
      </c>
      <c r="O10" s="114">
        <f>('13.Facility 2 Grain Processing'!B158*'13.Facility 2 Grain Processing'!C158)/('13.Facility 2 Grain Processing'!B5*'13.Facility 2 Grain Processing'!B6)</f>
        <v>8.952</v>
      </c>
      <c r="P10" s="114">
        <f t="shared" ref="P10:R10" si="4">O10</f>
        <v>8.952</v>
      </c>
      <c r="Q10" s="114">
        <f t="shared" si="4"/>
        <v>8.952</v>
      </c>
      <c r="R10" s="114">
        <f t="shared" si="4"/>
        <v>8.952</v>
      </c>
      <c r="S10" s="107"/>
      <c r="T10" s="107"/>
      <c r="U10" s="111" t="str">
        <f>'17.Facility 6 Horti Processing '!A166</f>
        <v>Electricity Charges</v>
      </c>
      <c r="V10" s="111" t="e">
        <f>'17.Facility 6 Horti Processing '!B166*'17.Facility 6 Horti Processing '!C166/('17.Facility 6 Horti Processing '!B5*'17.Facility 6 Horti Processing '!B6)</f>
        <v>#REF!</v>
      </c>
    </row>
    <row r="11" spans="3:22">
      <c r="C11" s="57" t="s">
        <v>88</v>
      </c>
      <c r="D11" s="57"/>
      <c r="E11" s="59"/>
      <c r="F11" s="59">
        <f t="shared" ref="F11:K11" si="5">SUM(F6:F10)</f>
        <v>3959543.3078878713</v>
      </c>
      <c r="G11" s="59">
        <f t="shared" si="5"/>
        <v>4452574.3837715127</v>
      </c>
      <c r="H11" s="59">
        <f t="shared" si="5"/>
        <v>4952382.912594595</v>
      </c>
      <c r="I11" s="59">
        <f t="shared" si="5"/>
        <v>5468029.6146492297</v>
      </c>
      <c r="J11" s="59">
        <f t="shared" si="5"/>
        <v>5999514.4899354167</v>
      </c>
      <c r="K11" s="59">
        <f t="shared" si="5"/>
        <v>6546837.5384531543</v>
      </c>
      <c r="L11" s="52"/>
      <c r="M11" s="52"/>
      <c r="N11" s="111" t="str">
        <f>'13.Facility 2 Grain Processing'!A159</f>
        <v>Loading/Unloading Charges</v>
      </c>
      <c r="O11" s="111">
        <f>'13.Facility 2 Grain Processing'!C159*2</f>
        <v>20</v>
      </c>
      <c r="P11" s="111">
        <f t="shared" ref="P11:R11" si="6">O11</f>
        <v>20</v>
      </c>
      <c r="Q11" s="111">
        <f t="shared" si="6"/>
        <v>20</v>
      </c>
      <c r="R11" s="111">
        <f t="shared" si="6"/>
        <v>20</v>
      </c>
      <c r="S11" s="107"/>
      <c r="T11" s="107"/>
      <c r="U11" s="111" t="str">
        <f>'17.Facility 6 Horti Processing '!A167</f>
        <v>Loading/Unloading Charges</v>
      </c>
      <c r="V11" s="111">
        <f>'17.Facility 6 Horti Processing '!C167</f>
        <v>10</v>
      </c>
    </row>
    <row r="12" spans="3:22">
      <c r="C12" s="57"/>
      <c r="D12" s="57"/>
      <c r="E12" s="57"/>
      <c r="F12" s="59"/>
      <c r="G12" s="59"/>
      <c r="H12" s="59"/>
      <c r="I12" s="59"/>
      <c r="J12" s="59"/>
      <c r="K12" s="59"/>
      <c r="L12" s="52"/>
      <c r="M12" s="52"/>
      <c r="N12" s="111" t="str">
        <f>'13.Facility 2 Grain Processing'!A160</f>
        <v>packaging Exp</v>
      </c>
      <c r="O12" s="111">
        <f>'13.Facility 2 Grain Processing'!C160*2</f>
        <v>40</v>
      </c>
      <c r="P12" s="111">
        <f t="shared" ref="P12:R12" si="7">O12</f>
        <v>40</v>
      </c>
      <c r="Q12" s="111">
        <f t="shared" si="7"/>
        <v>40</v>
      </c>
      <c r="R12" s="111">
        <f t="shared" si="7"/>
        <v>40</v>
      </c>
      <c r="S12" s="107"/>
      <c r="T12" s="107"/>
      <c r="U12" s="111" t="str">
        <f>'17.Facility 6 Horti Processing '!A168</f>
        <v>packaging Exp</v>
      </c>
      <c r="V12" s="115">
        <f>'17.Facility 6 Horti Processing '!C168*100</f>
        <v>200</v>
      </c>
    </row>
    <row r="13" spans="3:22">
      <c r="C13" s="60" t="s">
        <v>331</v>
      </c>
      <c r="D13" s="57"/>
      <c r="E13" s="57"/>
      <c r="F13" s="59"/>
      <c r="G13" s="59"/>
      <c r="H13" s="59"/>
      <c r="I13" s="59"/>
      <c r="J13" s="59"/>
      <c r="K13" s="59"/>
      <c r="L13" s="52"/>
      <c r="M13" s="52"/>
      <c r="N13" s="111"/>
      <c r="O13" s="115"/>
      <c r="P13" s="115"/>
      <c r="Q13" s="115"/>
      <c r="R13" s="115"/>
      <c r="S13" s="107"/>
      <c r="T13" s="107"/>
      <c r="U13" s="115"/>
      <c r="V13" s="115"/>
    </row>
    <row r="14" spans="3:22">
      <c r="C14" s="57" t="str">
        <f>C6</f>
        <v>Agri Input</v>
      </c>
      <c r="D14" s="108">
        <v>0.05</v>
      </c>
      <c r="E14" s="59">
        <f>SUM('16.Facility 5 Agri Input'!D197:D252)*$D$14</f>
        <v>0</v>
      </c>
      <c r="F14" s="59">
        <f>SUM('16.Facility 5 Agri Input'!E197:E252)*$D$14</f>
        <v>0</v>
      </c>
      <c r="G14" s="59">
        <f>SUM('16.Facility 5 Agri Input'!F197:F252)*$D$14</f>
        <v>0</v>
      </c>
      <c r="H14" s="59">
        <f>SUM('16.Facility 5 Agri Input'!G197:G252)*$D$14</f>
        <v>0</v>
      </c>
      <c r="I14" s="59">
        <f>SUM('16.Facility 5 Agri Input'!H197:H252)*$D$14</f>
        <v>0</v>
      </c>
      <c r="J14" s="59">
        <f>SUM('16.Facility 5 Agri Input'!I197:I252)*$D$14</f>
        <v>0</v>
      </c>
      <c r="K14" s="59">
        <f>SUM('16.Facility 5 Agri Input'!J197:J252)*$D$14</f>
        <v>0</v>
      </c>
      <c r="L14" s="52"/>
      <c r="M14" s="52"/>
      <c r="N14" s="115"/>
      <c r="O14" s="115"/>
      <c r="P14" s="115"/>
      <c r="Q14" s="115"/>
      <c r="R14" s="115"/>
      <c r="U14" s="115"/>
      <c r="V14" s="115"/>
    </row>
    <row r="15" spans="3:22">
      <c r="C15" s="57" t="str">
        <f>C7</f>
        <v>Trading</v>
      </c>
      <c r="D15" s="108">
        <v>0.02</v>
      </c>
      <c r="E15" s="59">
        <f>SUM('12.Facility 1 - Trading'!D233:D284)*$D$15</f>
        <v>3624288.1168439072</v>
      </c>
      <c r="F15" s="59">
        <f>SUM('12.Facility 1 - Trading'!E233:E284)*$D$15</f>
        <v>4076418.0594201847</v>
      </c>
      <c r="G15" s="59">
        <f>SUM('12.Facility 1 - Trading'!F233:F284)*$D$15</f>
        <v>4533984.4341717279</v>
      </c>
      <c r="H15" s="59">
        <f>SUM('12.Facility 1 - Trading'!G233:G284)*$D$15</f>
        <v>5006047.9613906471</v>
      </c>
      <c r="I15" s="59">
        <f>SUM('12.Facility 1 - Trading'!H233:H284)*$D$15</f>
        <v>5492608.6410769429</v>
      </c>
      <c r="J15" s="59">
        <f>SUM('12.Facility 1 - Trading'!I233:I284)*$D$15</f>
        <v>5993666.4732306134</v>
      </c>
      <c r="K15" s="59">
        <f>SUM('12.Facility 1 - Trading'!J233:J284)*$D$15</f>
        <v>6509221.4578516595</v>
      </c>
      <c r="L15" s="52"/>
      <c r="M15" s="52"/>
      <c r="N15" s="109" t="s">
        <v>332</v>
      </c>
      <c r="O15" s="117">
        <f>SUM(O8:O12)</f>
        <v>5574.5770000000002</v>
      </c>
      <c r="P15" s="117">
        <f>SUM(P8:P12)</f>
        <v>6574.5770000000002</v>
      </c>
      <c r="Q15" s="117">
        <f>SUM(Q8:Q12)</f>
        <v>7074.5770000000002</v>
      </c>
      <c r="R15" s="117">
        <f>SUM(R8:R12)</f>
        <v>6574.5770000000002</v>
      </c>
      <c r="U15" s="109" t="s">
        <v>88</v>
      </c>
      <c r="V15" s="117" t="e">
        <f>SUM(V8:V14)</f>
        <v>#REF!</v>
      </c>
    </row>
    <row r="16" spans="3:22">
      <c r="C16" s="57" t="str">
        <f>C8</f>
        <v xml:space="preserve">Grain Processing </v>
      </c>
      <c r="D16" s="108">
        <v>0.02</v>
      </c>
      <c r="E16" s="59">
        <f>SUM('13.Facility 2 Grain Processing'!D152:D160)*$D$16</f>
        <v>335255.19104396401</v>
      </c>
      <c r="F16" s="59">
        <f>SUM('13.Facility 2 Grain Processing'!E152:E160)*$D$16</f>
        <v>376156.32435132755</v>
      </c>
      <c r="G16" s="59">
        <f>SUM('13.Facility 2 Grain Processing'!F152:F160)*$D$16</f>
        <v>418398.47842286713</v>
      </c>
      <c r="H16" s="59">
        <f>SUM('13.Facility 2 Grain Processing'!G152:G160)*$D$16</f>
        <v>461981.65325858246</v>
      </c>
      <c r="I16" s="59">
        <f>SUM('13.Facility 2 Grain Processing'!H152:H160)*$D$16</f>
        <v>506905.84885847353</v>
      </c>
      <c r="J16" s="59">
        <f>SUM('13.Facility 2 Grain Processing'!I152:I160)*$D$16</f>
        <v>553171.06522254064</v>
      </c>
      <c r="K16" s="59">
        <f>SUM('13.Facility 2 Grain Processing'!J152:J160)*$D$16</f>
        <v>600777.30235078349</v>
      </c>
      <c r="L16" s="52"/>
      <c r="M16" s="52"/>
    </row>
    <row r="17" spans="2:18">
      <c r="C17" s="57"/>
      <c r="D17" s="108"/>
      <c r="E17" s="59"/>
      <c r="F17" s="59"/>
      <c r="G17" s="59"/>
      <c r="H17" s="59"/>
      <c r="I17" s="59"/>
      <c r="J17" s="59"/>
      <c r="K17" s="59"/>
      <c r="L17" s="52"/>
      <c r="M17" s="52"/>
    </row>
    <row r="18" spans="2:18">
      <c r="C18" s="57"/>
      <c r="D18" s="57"/>
      <c r="E18" s="57"/>
      <c r="F18" s="59"/>
      <c r="G18" s="59"/>
      <c r="H18" s="59"/>
      <c r="I18" s="59"/>
      <c r="J18" s="59"/>
      <c r="K18" s="59"/>
      <c r="L18" s="52"/>
      <c r="M18" s="52"/>
    </row>
    <row r="19" spans="2:18" ht="15.75" customHeight="1">
      <c r="C19" s="57" t="s">
        <v>88</v>
      </c>
      <c r="D19" s="57"/>
      <c r="E19" s="59">
        <f t="shared" ref="E19:K19" si="8">SUM(E14:E18)</f>
        <v>3959543.3078878713</v>
      </c>
      <c r="F19" s="59">
        <f t="shared" si="8"/>
        <v>4452574.3837715127</v>
      </c>
      <c r="G19" s="59">
        <f t="shared" si="8"/>
        <v>4952382.912594595</v>
      </c>
      <c r="H19" s="59">
        <f t="shared" si="8"/>
        <v>5468029.6146492297</v>
      </c>
      <c r="I19" s="59">
        <f t="shared" si="8"/>
        <v>5999514.4899354167</v>
      </c>
      <c r="J19" s="59">
        <f t="shared" si="8"/>
        <v>6546837.5384531543</v>
      </c>
      <c r="K19" s="59">
        <f t="shared" si="8"/>
        <v>7109998.7602024432</v>
      </c>
      <c r="L19" s="52"/>
      <c r="M19" s="52"/>
    </row>
    <row r="20" spans="2:18" ht="15.75" customHeight="1">
      <c r="C20" s="52"/>
      <c r="D20" s="52"/>
      <c r="E20" s="52"/>
      <c r="F20" s="52"/>
      <c r="G20" s="52"/>
      <c r="H20" s="52"/>
      <c r="I20" s="52"/>
      <c r="J20" s="52"/>
      <c r="K20" s="52"/>
      <c r="L20" s="52"/>
      <c r="M20" s="52"/>
    </row>
    <row r="21" spans="2:18" ht="40.5" customHeight="1">
      <c r="B21" s="273" t="s">
        <v>333</v>
      </c>
      <c r="C21" s="273"/>
      <c r="D21" s="273"/>
      <c r="E21" s="273"/>
      <c r="F21" s="273"/>
      <c r="G21" s="273"/>
      <c r="H21" s="273"/>
      <c r="I21" s="273"/>
      <c r="J21" s="273"/>
      <c r="K21" s="273"/>
      <c r="L21" s="118"/>
      <c r="M21" s="118"/>
      <c r="N21" s="118"/>
      <c r="O21" s="119"/>
      <c r="P21" s="119"/>
      <c r="Q21" s="119"/>
      <c r="R21" s="119"/>
    </row>
    <row r="22" spans="2:18" ht="15.75" customHeight="1">
      <c r="B22" t="s">
        <v>314</v>
      </c>
    </row>
    <row r="23" spans="2:18" ht="15.75" customHeight="1">
      <c r="B23">
        <v>1</v>
      </c>
      <c r="C23" t="s">
        <v>334</v>
      </c>
    </row>
    <row r="24" spans="2:18" ht="15.75" customHeight="1"/>
    <row r="25" spans="2:18" ht="15.75" customHeight="1"/>
    <row r="26" spans="2:18" ht="15.75" customHeight="1">
      <c r="B26" s="267" t="s">
        <v>335</v>
      </c>
      <c r="C26" s="251"/>
      <c r="D26" s="251"/>
      <c r="E26" s="251"/>
      <c r="F26" s="251"/>
      <c r="G26" s="251"/>
      <c r="H26" s="251"/>
      <c r="I26" s="251"/>
      <c r="J26" s="251"/>
      <c r="K26" s="251"/>
    </row>
    <row r="27" spans="2:18" ht="15.75" customHeight="1"/>
    <row r="28" spans="2:18" ht="15.75" customHeight="1">
      <c r="B28" s="291" t="s">
        <v>81</v>
      </c>
      <c r="C28" s="291" t="s">
        <v>150</v>
      </c>
      <c r="D28" s="292" t="s">
        <v>336</v>
      </c>
      <c r="E28" s="293" t="s">
        <v>83</v>
      </c>
      <c r="F28" s="294"/>
      <c r="G28" s="294"/>
      <c r="H28" s="294"/>
      <c r="I28" s="294"/>
      <c r="J28" s="294"/>
      <c r="K28" s="266"/>
    </row>
    <row r="29" spans="2:18" ht="15.75" customHeight="1">
      <c r="B29" s="261"/>
      <c r="C29" s="261"/>
      <c r="D29" s="261"/>
      <c r="E29" s="36" t="s">
        <v>153</v>
      </c>
      <c r="F29" s="36" t="s">
        <v>154</v>
      </c>
      <c r="G29" s="36" t="s">
        <v>155</v>
      </c>
      <c r="H29" s="36" t="s">
        <v>156</v>
      </c>
      <c r="I29" s="36" t="s">
        <v>157</v>
      </c>
      <c r="J29" s="36" t="s">
        <v>158</v>
      </c>
      <c r="K29" s="36" t="s">
        <v>159</v>
      </c>
    </row>
    <row r="30" spans="2:18" ht="15.75" customHeight="1">
      <c r="B30" s="120"/>
      <c r="C30" s="121"/>
      <c r="D30" s="121"/>
      <c r="E30" s="122"/>
      <c r="F30" s="122"/>
      <c r="G30" s="122"/>
      <c r="H30" s="122"/>
      <c r="I30" s="122"/>
      <c r="J30" s="122"/>
      <c r="K30" s="122"/>
    </row>
    <row r="31" spans="2:18" ht="15.75" customHeight="1">
      <c r="B31" s="123" t="s">
        <v>19</v>
      </c>
      <c r="C31" s="124" t="s">
        <v>337</v>
      </c>
      <c r="D31" s="123"/>
      <c r="E31" s="125"/>
      <c r="F31" s="125"/>
      <c r="G31" s="125"/>
      <c r="H31" s="125"/>
      <c r="I31" s="125"/>
      <c r="J31" s="125"/>
      <c r="K31" s="125"/>
    </row>
    <row r="32" spans="2:18" ht="15.75" hidden="1" customHeight="1">
      <c r="B32" s="126">
        <v>1</v>
      </c>
      <c r="C32" s="127" t="s">
        <v>320</v>
      </c>
      <c r="D32" s="123">
        <v>14</v>
      </c>
      <c r="E32" s="125">
        <f>('16.Facility 5 Agri Input'!D191/365)*$D$32</f>
        <v>0</v>
      </c>
      <c r="F32" s="125">
        <f>('16.Facility 5 Agri Input'!E191/365)*$D$32</f>
        <v>0</v>
      </c>
      <c r="G32" s="125">
        <f>('16.Facility 5 Agri Input'!F191/365)*$D$32</f>
        <v>0</v>
      </c>
      <c r="H32" s="125">
        <f>('16.Facility 5 Agri Input'!G191/365)*$D$32</f>
        <v>0</v>
      </c>
      <c r="I32" s="125">
        <f>('16.Facility 5 Agri Input'!H191/365)*$D$32</f>
        <v>0</v>
      </c>
      <c r="J32" s="125">
        <f>('16.Facility 5 Agri Input'!I191/365)*$D$32</f>
        <v>0</v>
      </c>
      <c r="K32" s="125">
        <f>('16.Facility 5 Agri Input'!J191/365)*$D$32</f>
        <v>0</v>
      </c>
    </row>
    <row r="33" spans="2:11" ht="15.75" hidden="1" customHeight="1">
      <c r="B33" s="126">
        <v>2</v>
      </c>
      <c r="C33" s="127" t="s">
        <v>134</v>
      </c>
      <c r="D33" s="123">
        <v>14</v>
      </c>
      <c r="E33" s="125">
        <f>('15. Facility 4 Custom Hiring'!E39/365)*$D$33</f>
        <v>0</v>
      </c>
      <c r="F33" s="125">
        <f>('15. Facility 4 Custom Hiring'!F39/365)*$D$33</f>
        <v>0</v>
      </c>
      <c r="G33" s="125">
        <f>('15. Facility 4 Custom Hiring'!G39/365)*$D$33</f>
        <v>0</v>
      </c>
      <c r="H33" s="125">
        <f>('15. Facility 4 Custom Hiring'!H39/365)*$D$33</f>
        <v>0</v>
      </c>
      <c r="I33" s="125">
        <f>('15. Facility 4 Custom Hiring'!I39/365)*$D$33</f>
        <v>0</v>
      </c>
      <c r="J33" s="125">
        <f>('15. Facility 4 Custom Hiring'!J39/365)*$D$33</f>
        <v>0</v>
      </c>
      <c r="K33" s="125">
        <f>('15. Facility 4 Custom Hiring'!K39/365)*$D$33</f>
        <v>0</v>
      </c>
    </row>
    <row r="34" spans="2:11" ht="15.75" customHeight="1">
      <c r="B34" s="126">
        <v>1</v>
      </c>
      <c r="C34" s="127" t="s">
        <v>138</v>
      </c>
      <c r="D34" s="123">
        <v>10</v>
      </c>
      <c r="E34" s="125">
        <f>('12.Facility 1 - Trading'!D229/365)*$D$34</f>
        <v>4958137.5949130133</v>
      </c>
      <c r="F34" s="125">
        <f>('12.Facility 1 - Trading'!E229/365)*$D$34</f>
        <v>5665959.6586242775</v>
      </c>
      <c r="G34" s="125">
        <f>('12.Facility 1 - Trading'!F229/365)*$D$34</f>
        <v>6303197.9665287631</v>
      </c>
      <c r="H34" s="125">
        <f>('12.Facility 1 - Trading'!G229/365)*$D$34</f>
        <v>6960672.4690369442</v>
      </c>
      <c r="I34" s="125">
        <f>('12.Facility 1 - Trading'!H229/365)*$D$34</f>
        <v>7638383.1661488255</v>
      </c>
      <c r="J34" s="125">
        <f>('12.Facility 1 - Trading'!I229/365)*$D$34</f>
        <v>8336330.057864408</v>
      </c>
      <c r="K34" s="125">
        <f>('12.Facility 1 - Trading'!J229/365)*$D$34</f>
        <v>9054513.1441836879</v>
      </c>
    </row>
    <row r="35" spans="2:11" ht="15.75" customHeight="1">
      <c r="B35" s="126">
        <v>2</v>
      </c>
      <c r="C35" s="127" t="s">
        <v>338</v>
      </c>
      <c r="D35" s="123">
        <v>15</v>
      </c>
      <c r="E35" s="125">
        <f>('13.Facility 2 Grain Processing'!D148/365)*$D$35</f>
        <v>737652.71174794517</v>
      </c>
      <c r="F35" s="125">
        <f>('13.Facility 2 Grain Processing'!E148/365)*$D$35</f>
        <v>840631.60393801657</v>
      </c>
      <c r="G35" s="125">
        <f>('13.Facility 2 Grain Processing'!F148/365)*$D$35</f>
        <v>935154.44601849862</v>
      </c>
      <c r="H35" s="125">
        <f>('13.Facility 2 Grain Processing'!G148/365)*$D$35</f>
        <v>1032678.8215395289</v>
      </c>
      <c r="I35" s="125">
        <f>('13.Facility 2 Grain Processing'!H148/365)*$D$35</f>
        <v>1133204.7305011067</v>
      </c>
      <c r="J35" s="125">
        <f>('13.Facility 2 Grain Processing'!I148/365)*$D$35</f>
        <v>1236732.1729032332</v>
      </c>
      <c r="K35" s="125">
        <f>('13.Facility 2 Grain Processing'!J148/365)*$D$35</f>
        <v>1343261.148745907</v>
      </c>
    </row>
    <row r="36" spans="2:11" ht="15.75" customHeight="1">
      <c r="B36" s="126">
        <v>3</v>
      </c>
      <c r="C36" s="127" t="s">
        <v>339</v>
      </c>
      <c r="D36" s="123">
        <v>15</v>
      </c>
      <c r="E36" s="125">
        <f>('14. Facility 3 Warehouse'!D23/365)*$D$36</f>
        <v>78904.109589041094</v>
      </c>
      <c r="F36" s="125">
        <f>('14. Facility 3 Warehouse'!E23/365)*$D$36</f>
        <v>85512.328767123312</v>
      </c>
      <c r="G36" s="125">
        <f>('14. Facility 3 Warehouse'!F23/365)*$D$36</f>
        <v>92317.8082191781</v>
      </c>
      <c r="H36" s="125">
        <f>('14. Facility 3 Warehouse'!G23/365)*$D$36</f>
        <v>99320.547945205515</v>
      </c>
      <c r="I36" s="125">
        <f>('14. Facility 3 Warehouse'!H23/365)*$D$36</f>
        <v>106520.54794520553</v>
      </c>
      <c r="J36" s="125">
        <f>('14. Facility 3 Warehouse'!I23/365)*$D$36</f>
        <v>108493.15068493156</v>
      </c>
      <c r="K36" s="125">
        <f>('14. Facility 3 Warehouse'!J23/365)*$D$36</f>
        <v>110465.75342465758</v>
      </c>
    </row>
    <row r="37" spans="2:11" ht="15.75" customHeight="1">
      <c r="B37" s="126"/>
      <c r="C37" s="127"/>
      <c r="D37" s="123"/>
      <c r="E37" s="125"/>
      <c r="F37" s="125"/>
      <c r="G37" s="125"/>
      <c r="H37" s="125"/>
      <c r="I37" s="125"/>
      <c r="J37" s="125"/>
      <c r="K37" s="125"/>
    </row>
    <row r="38" spans="2:11" ht="15.75" customHeight="1">
      <c r="B38" s="123"/>
      <c r="C38" s="124" t="s">
        <v>135</v>
      </c>
      <c r="D38" s="123"/>
      <c r="E38" s="125">
        <f t="shared" ref="E38:K38" si="9">SUM(E32:E37)</f>
        <v>5774694.4162499998</v>
      </c>
      <c r="F38" s="125">
        <f t="shared" si="9"/>
        <v>6592103.5913294172</v>
      </c>
      <c r="G38" s="125">
        <f t="shared" si="9"/>
        <v>7330670.2207664391</v>
      </c>
      <c r="H38" s="125">
        <f t="shared" si="9"/>
        <v>8092671.838521678</v>
      </c>
      <c r="I38" s="125">
        <f t="shared" si="9"/>
        <v>8878108.4445951376</v>
      </c>
      <c r="J38" s="125">
        <f t="shared" si="9"/>
        <v>9681555.3814525735</v>
      </c>
      <c r="K38" s="125">
        <f t="shared" si="9"/>
        <v>10508240.046354253</v>
      </c>
    </row>
    <row r="39" spans="2:11" ht="15.75" customHeight="1">
      <c r="B39" s="123" t="s">
        <v>61</v>
      </c>
      <c r="C39" s="124" t="s">
        <v>331</v>
      </c>
      <c r="D39" s="123"/>
      <c r="E39" s="125">
        <f>'5.Closing Stock &amp; W Capital'!E19</f>
        <v>3959543.3078878713</v>
      </c>
      <c r="F39" s="125">
        <f>'5.Closing Stock &amp; W Capital'!F19</f>
        <v>4452574.3837715127</v>
      </c>
      <c r="G39" s="125">
        <f>'5.Closing Stock &amp; W Capital'!G19</f>
        <v>4952382.912594595</v>
      </c>
      <c r="H39" s="125">
        <f>'5.Closing Stock &amp; W Capital'!H19</f>
        <v>5468029.6146492297</v>
      </c>
      <c r="I39" s="125">
        <f>'5.Closing Stock &amp; W Capital'!I19</f>
        <v>5999514.4899354167</v>
      </c>
      <c r="J39" s="125">
        <f>'5.Closing Stock &amp; W Capital'!J19</f>
        <v>6546837.5384531543</v>
      </c>
      <c r="K39" s="125">
        <f>'5.Closing Stock &amp; W Capital'!K19</f>
        <v>7109998.7602024432</v>
      </c>
    </row>
    <row r="40" spans="2:11" ht="15.75" customHeight="1">
      <c r="B40" s="123"/>
      <c r="C40" s="127"/>
      <c r="D40" s="123"/>
      <c r="E40" s="125"/>
      <c r="F40" s="125"/>
      <c r="G40" s="125"/>
      <c r="H40" s="125"/>
      <c r="I40" s="125"/>
      <c r="J40" s="125"/>
      <c r="K40" s="125"/>
    </row>
    <row r="41" spans="2:11" ht="15.75" customHeight="1">
      <c r="B41" s="274" t="s">
        <v>88</v>
      </c>
      <c r="C41" s="256"/>
      <c r="D41" s="236"/>
      <c r="E41" s="128">
        <f t="shared" ref="E41:K41" si="10">SUM(E38:E39)</f>
        <v>9734237.7241378706</v>
      </c>
      <c r="F41" s="128">
        <f t="shared" si="10"/>
        <v>11044677.975100931</v>
      </c>
      <c r="G41" s="128">
        <f t="shared" si="10"/>
        <v>12283053.133361034</v>
      </c>
      <c r="H41" s="128">
        <f t="shared" si="10"/>
        <v>13560701.453170907</v>
      </c>
      <c r="I41" s="128">
        <f t="shared" si="10"/>
        <v>14877622.934530554</v>
      </c>
      <c r="J41" s="128">
        <f t="shared" si="10"/>
        <v>16228392.919905728</v>
      </c>
      <c r="K41" s="128">
        <f t="shared" si="10"/>
        <v>17618238.806556694</v>
      </c>
    </row>
    <row r="42" spans="2:11" ht="15.75" customHeight="1">
      <c r="B42" s="123"/>
      <c r="C42" s="124"/>
      <c r="D42" s="123"/>
      <c r="E42" s="125"/>
      <c r="F42" s="125"/>
      <c r="G42" s="125"/>
      <c r="H42" s="125"/>
      <c r="I42" s="125"/>
      <c r="J42" s="125"/>
      <c r="K42" s="125"/>
    </row>
    <row r="43" spans="2:11" ht="34.5" customHeight="1">
      <c r="B43" s="123" t="s">
        <v>137</v>
      </c>
      <c r="C43" s="127" t="s">
        <v>340</v>
      </c>
      <c r="D43" s="123"/>
      <c r="E43" s="125"/>
      <c r="F43" s="125"/>
      <c r="G43" s="125"/>
      <c r="H43" s="125"/>
      <c r="I43" s="125"/>
      <c r="J43" s="125"/>
      <c r="K43" s="125"/>
    </row>
    <row r="44" spans="2:11" ht="15.75" hidden="1" customHeight="1">
      <c r="B44" s="126">
        <v>1</v>
      </c>
      <c r="C44" s="127" t="str">
        <f>C32</f>
        <v>Agri Input</v>
      </c>
      <c r="D44" s="123">
        <v>7</v>
      </c>
      <c r="E44" s="125">
        <f>('16.Facility 5 Agri Input'!D262/365)*$D$44</f>
        <v>0</v>
      </c>
      <c r="F44" s="125">
        <f>('16.Facility 5 Agri Input'!E262/365)*$D$44</f>
        <v>0</v>
      </c>
      <c r="G44" s="125">
        <f>('16.Facility 5 Agri Input'!F262/365)*$D$44</f>
        <v>0</v>
      </c>
      <c r="H44" s="125">
        <f>('16.Facility 5 Agri Input'!G262/365)*$D$44</f>
        <v>0</v>
      </c>
      <c r="I44" s="125">
        <f>('16.Facility 5 Agri Input'!H262/365)*$D$44</f>
        <v>0</v>
      </c>
      <c r="J44" s="125">
        <f>('16.Facility 5 Agri Input'!I262/365)*$D$44</f>
        <v>0</v>
      </c>
      <c r="K44" s="125">
        <f>('16.Facility 5 Agri Input'!J262/365)*$D$44</f>
        <v>0</v>
      </c>
    </row>
    <row r="45" spans="2:11" ht="15.75" hidden="1" customHeight="1">
      <c r="B45" s="126">
        <v>2</v>
      </c>
      <c r="C45" s="127" t="str">
        <f>C33</f>
        <v>Custom Hiring</v>
      </c>
      <c r="D45" s="123">
        <v>7</v>
      </c>
      <c r="E45" s="125">
        <f>('15. Facility 4 Custom Hiring'!E49/365)*$D$46</f>
        <v>0</v>
      </c>
      <c r="F45" s="125">
        <f>('15. Facility 4 Custom Hiring'!F49/365)*$D$46</f>
        <v>0</v>
      </c>
      <c r="G45" s="125">
        <f>('15. Facility 4 Custom Hiring'!G49/365)*$D$46</f>
        <v>0</v>
      </c>
      <c r="H45" s="125">
        <f>('15. Facility 4 Custom Hiring'!H49/365)*$D$46</f>
        <v>0</v>
      </c>
      <c r="I45" s="125">
        <f>('15. Facility 4 Custom Hiring'!I49/365)*$D$46</f>
        <v>0</v>
      </c>
      <c r="J45" s="125">
        <f>('15. Facility 4 Custom Hiring'!J49/365)*$D$46</f>
        <v>0</v>
      </c>
      <c r="K45" s="125">
        <f>('15. Facility 4 Custom Hiring'!K49/365)*$D$46</f>
        <v>0</v>
      </c>
    </row>
    <row r="46" spans="2:11" ht="15.75" customHeight="1">
      <c r="B46" s="126">
        <v>1</v>
      </c>
      <c r="C46" s="127" t="str">
        <f>C34</f>
        <v>Cleaning &amp; Grading</v>
      </c>
      <c r="D46" s="123">
        <v>7</v>
      </c>
      <c r="E46" s="125">
        <f>('12.Facility 1 - Trading'!D292/365)*$D$46</f>
        <v>3422332.5024733841</v>
      </c>
      <c r="F46" s="125">
        <f>('12.Facility 1 - Trading'!E292/365)*$D$46</f>
        <v>3918775.3775484655</v>
      </c>
      <c r="G46" s="125">
        <f>('12.Facility 1 - Trading'!F292/365)*$D$46</f>
        <v>4359515.8411858231</v>
      </c>
      <c r="H46" s="125">
        <f>('12.Facility 1 - Trading'!G292/365)*$D$46</f>
        <v>4814049.8951761629</v>
      </c>
      <c r="I46" s="125">
        <f>('12.Facility 1 - Trading'!H292/365)*$D$46</f>
        <v>5282551.3067579633</v>
      </c>
      <c r="J46" s="125">
        <f>('12.Facility 1 - Trading'!I292/365)*$D$46</f>
        <v>5765020.0759312203</v>
      </c>
      <c r="K46" s="125">
        <f>('12.Facility 1 - Trading'!J292/365)*$D$46</f>
        <v>6261456.2026959369</v>
      </c>
    </row>
    <row r="47" spans="2:11" ht="15.75" customHeight="1">
      <c r="B47" s="126">
        <v>2</v>
      </c>
      <c r="C47" s="127" t="str">
        <f>C35</f>
        <v>Dal Mill</v>
      </c>
      <c r="D47" s="123">
        <v>7</v>
      </c>
      <c r="E47" s="125">
        <f>('13.Facility 2 Grain Processing'!D169/365)*$D$47</f>
        <v>321908.33876186202</v>
      </c>
      <c r="F47" s="125">
        <f>('13.Facility 2 Grain Processing'!E169/365)*$D$47</f>
        <v>367610.70769987151</v>
      </c>
      <c r="G47" s="125">
        <f>('13.Facility 2 Grain Processing'!F169/365)*$D$47</f>
        <v>408955.56368017185</v>
      </c>
      <c r="H47" s="125">
        <f>('13.Facility 2 Grain Processing'!G169/365)*$D$47</f>
        <v>451613.77122195577</v>
      </c>
      <c r="I47" s="125">
        <f>('13.Facility 2 Grain Processing'!H169/365)*$D$47</f>
        <v>495585.33032522321</v>
      </c>
      <c r="J47" s="125">
        <f>('13.Facility 2 Grain Processing'!I169/365)*$D$47</f>
        <v>540870.2409899747</v>
      </c>
      <c r="K47" s="125">
        <f>('13.Facility 2 Grain Processing'!J169/365)*$D$47</f>
        <v>587468.50321620959</v>
      </c>
    </row>
    <row r="48" spans="2:11" ht="15.75" customHeight="1">
      <c r="B48" s="126">
        <v>3</v>
      </c>
      <c r="C48" s="127" t="str">
        <f>C36</f>
        <v>Warehouse</v>
      </c>
      <c r="D48" s="123">
        <v>7</v>
      </c>
      <c r="E48" s="125">
        <f>('14. Facility 3 Warehouse'!D34/365)*$D$48</f>
        <v>13347.945205479451</v>
      </c>
      <c r="F48" s="125">
        <f>('14. Facility 3 Warehouse'!E34/365)*$D$48</f>
        <v>13614.904109589041</v>
      </c>
      <c r="G48" s="125">
        <f>('14. Facility 3 Warehouse'!F34/365)*$D$48</f>
        <v>13881.86301369863</v>
      </c>
      <c r="H48" s="125">
        <f>('14. Facility 3 Warehouse'!G34/365)*$D$48</f>
        <v>14148.82191780822</v>
      </c>
      <c r="I48" s="125">
        <f>('14. Facility 3 Warehouse'!H34/365)*$D$48</f>
        <v>14415.78082191781</v>
      </c>
      <c r="J48" s="125">
        <f>('14. Facility 3 Warehouse'!I34/365)*$D$48</f>
        <v>14682.739726027397</v>
      </c>
      <c r="K48" s="125">
        <f>('14. Facility 3 Warehouse'!J34/365)*$D$48</f>
        <v>14949.698630136985</v>
      </c>
    </row>
    <row r="49" spans="2:11" ht="15.75" customHeight="1">
      <c r="B49" s="126"/>
      <c r="C49" s="127"/>
      <c r="D49" s="123"/>
      <c r="E49" s="125"/>
      <c r="F49" s="125"/>
      <c r="G49" s="125"/>
      <c r="H49" s="125"/>
      <c r="I49" s="125"/>
      <c r="J49" s="125"/>
      <c r="K49" s="125"/>
    </row>
    <row r="50" spans="2:11" ht="15.75" customHeight="1">
      <c r="B50" s="129"/>
      <c r="C50" s="124" t="s">
        <v>88</v>
      </c>
      <c r="D50" s="123"/>
      <c r="E50" s="128">
        <f t="shared" ref="E50:K50" si="11">SUM(E44:E49)</f>
        <v>3757588.7864407254</v>
      </c>
      <c r="F50" s="128">
        <f t="shared" si="11"/>
        <v>4300000.989357926</v>
      </c>
      <c r="G50" s="128">
        <f t="shared" si="11"/>
        <v>4782353.2678796938</v>
      </c>
      <c r="H50" s="128">
        <f t="shared" si="11"/>
        <v>5279812.4883159278</v>
      </c>
      <c r="I50" s="128">
        <f t="shared" si="11"/>
        <v>5792552.4179051043</v>
      </c>
      <c r="J50" s="128">
        <f t="shared" si="11"/>
        <v>6320573.0566472225</v>
      </c>
      <c r="K50" s="128">
        <f t="shared" si="11"/>
        <v>6863874.4045422841</v>
      </c>
    </row>
    <row r="51" spans="2:11" ht="15.75" customHeight="1">
      <c r="B51" s="123" t="s">
        <v>139</v>
      </c>
      <c r="C51" s="124" t="s">
        <v>87</v>
      </c>
      <c r="D51" s="123"/>
      <c r="E51" s="128">
        <f t="shared" ref="E51:K51" si="12">E41-E50</f>
        <v>5976648.9376971452</v>
      </c>
      <c r="F51" s="128">
        <f t="shared" si="12"/>
        <v>6744676.9857430048</v>
      </c>
      <c r="G51" s="128">
        <f t="shared" si="12"/>
        <v>7500699.8654813403</v>
      </c>
      <c r="H51" s="128">
        <f t="shared" si="12"/>
        <v>8280888.964854979</v>
      </c>
      <c r="I51" s="128">
        <f t="shared" si="12"/>
        <v>9085070.5166254491</v>
      </c>
      <c r="J51" s="128">
        <f t="shared" si="12"/>
        <v>9907819.8632585052</v>
      </c>
      <c r="K51" s="128">
        <f t="shared" si="12"/>
        <v>10754364.40201441</v>
      </c>
    </row>
    <row r="52" spans="2:11" ht="15.75" customHeight="1">
      <c r="B52" s="123"/>
      <c r="C52" s="124" t="s">
        <v>94</v>
      </c>
      <c r="D52" s="237">
        <v>0.25</v>
      </c>
      <c r="E52" s="128">
        <f>E51*$D$52+83360</f>
        <v>1577522.2344242863</v>
      </c>
      <c r="F52" s="128"/>
      <c r="G52" s="128"/>
      <c r="H52" s="128"/>
      <c r="I52" s="128"/>
      <c r="J52" s="128"/>
      <c r="K52" s="128"/>
    </row>
    <row r="53" spans="2:11" ht="15.75" hidden="1" customHeight="1">
      <c r="E53" s="132">
        <f>+E51-E52</f>
        <v>4399126.7032728586</v>
      </c>
    </row>
    <row r="54" spans="2:11" ht="15.75" customHeight="1">
      <c r="E54" s="130"/>
    </row>
    <row r="55" spans="2:11" ht="36.75" customHeight="1">
      <c r="B55" s="290" t="s">
        <v>341</v>
      </c>
      <c r="C55" s="290"/>
      <c r="D55" s="290"/>
      <c r="E55" s="290"/>
      <c r="F55" s="290"/>
      <c r="G55" s="290"/>
      <c r="H55" s="290"/>
      <c r="I55" s="290"/>
      <c r="J55" s="290"/>
      <c r="K55" s="290"/>
    </row>
    <row r="56" spans="2:11" ht="15.75" customHeight="1">
      <c r="B56" t="s">
        <v>342</v>
      </c>
    </row>
    <row r="57" spans="2:11" ht="15.75" customHeight="1">
      <c r="B57">
        <v>1</v>
      </c>
      <c r="C57" t="s">
        <v>343</v>
      </c>
    </row>
    <row r="58" spans="2:11" ht="15.75" customHeight="1">
      <c r="B58">
        <v>2</v>
      </c>
      <c r="C58" t="s">
        <v>344</v>
      </c>
    </row>
    <row r="59" spans="2:11" ht="15.75" customHeight="1">
      <c r="B59">
        <v>3</v>
      </c>
      <c r="C59" t="s">
        <v>345</v>
      </c>
    </row>
    <row r="60" spans="2:11" ht="15.75" customHeight="1"/>
    <row r="61" spans="2:11" ht="15.75" customHeight="1"/>
    <row r="62" spans="2:11" ht="15.75" customHeight="1"/>
    <row r="63" spans="2:11" ht="15.75" customHeight="1"/>
    <row r="64" spans="2:11"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sheetData>
  <mergeCells count="13">
    <mergeCell ref="U5:V5"/>
    <mergeCell ref="U6:V6"/>
    <mergeCell ref="B21:K21"/>
    <mergeCell ref="B55:K55"/>
    <mergeCell ref="C2:K2"/>
    <mergeCell ref="N5:R5"/>
    <mergeCell ref="B26:K26"/>
    <mergeCell ref="B28:B29"/>
    <mergeCell ref="C28:C29"/>
    <mergeCell ref="D28:D29"/>
    <mergeCell ref="E28:K28"/>
    <mergeCell ref="B41:C41"/>
    <mergeCell ref="N6:R6"/>
  </mergeCells>
  <pageMargins left="0.7" right="0.7" top="0.75" bottom="0.75" header="0" footer="0"/>
  <pageSetup paperSize="9" scale="3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90"/>
  <sheetViews>
    <sheetView view="pageBreakPreview" zoomScale="64" workbookViewId="0">
      <selection activeCell="G18" sqref="G18"/>
    </sheetView>
  </sheetViews>
  <sheetFormatPr defaultColWidth="14.42578125" defaultRowHeight="15" customHeight="1"/>
  <cols>
    <col min="1" max="1" width="40.5703125" customWidth="1"/>
    <col min="2" max="2" width="16" customWidth="1"/>
    <col min="3" max="3" width="20.5703125" customWidth="1"/>
    <col min="4" max="4" width="20.7109375" customWidth="1"/>
    <col min="5" max="5" width="21.42578125" customWidth="1"/>
    <col min="6" max="6" width="21.85546875" customWidth="1"/>
    <col min="7" max="8" width="22" customWidth="1"/>
    <col min="9" max="9" width="14.140625" customWidth="1"/>
    <col min="10" max="10" width="12.28515625" bestFit="1" customWidth="1"/>
    <col min="11" max="11" width="11.28515625" customWidth="1"/>
  </cols>
  <sheetData>
    <row r="2" spans="1:16" ht="18.75">
      <c r="A2" s="267" t="s">
        <v>346</v>
      </c>
      <c r="B2" s="251"/>
      <c r="C2" s="251"/>
      <c r="D2" s="251"/>
      <c r="E2" s="251"/>
      <c r="F2" s="251"/>
      <c r="G2" s="251"/>
      <c r="H2" s="251"/>
    </row>
    <row r="4" spans="1:16">
      <c r="B4" s="131"/>
      <c r="C4" s="131"/>
      <c r="D4" s="131"/>
      <c r="E4" s="131"/>
      <c r="F4" s="131"/>
    </row>
    <row r="5" spans="1:16">
      <c r="A5" s="55" t="s">
        <v>150</v>
      </c>
      <c r="B5" s="56" t="s">
        <v>153</v>
      </c>
      <c r="C5" s="56" t="s">
        <v>154</v>
      </c>
      <c r="D5" s="56" t="s">
        <v>155</v>
      </c>
      <c r="E5" s="56" t="s">
        <v>156</v>
      </c>
      <c r="F5" s="56" t="s">
        <v>157</v>
      </c>
      <c r="G5" s="56" t="s">
        <v>158</v>
      </c>
      <c r="H5" s="56" t="s">
        <v>159</v>
      </c>
    </row>
    <row r="6" spans="1:16">
      <c r="A6" s="60" t="s">
        <v>347</v>
      </c>
      <c r="B6" s="57"/>
      <c r="C6" s="57"/>
      <c r="D6" s="57"/>
      <c r="E6" s="57"/>
      <c r="F6" s="57"/>
      <c r="G6" s="57"/>
      <c r="H6" s="57"/>
    </row>
    <row r="7" spans="1:16">
      <c r="A7" s="57"/>
      <c r="B7" s="57"/>
      <c r="C7" s="57"/>
      <c r="D7" s="57"/>
      <c r="E7" s="57"/>
      <c r="F7" s="57"/>
      <c r="G7" s="57"/>
      <c r="H7" s="57"/>
    </row>
    <row r="8" spans="1:16">
      <c r="A8" s="57" t="s">
        <v>348</v>
      </c>
      <c r="B8" s="59">
        <f>'12.Facility 1 - Trading'!D229</f>
        <v>180972022.21432498</v>
      </c>
      <c r="C8" s="59">
        <f>'12.Facility 1 - Trading'!E229</f>
        <v>206807527.53978613</v>
      </c>
      <c r="D8" s="59">
        <f>'12.Facility 1 - Trading'!F229</f>
        <v>230066725.77829984</v>
      </c>
      <c r="E8" s="59">
        <f>'12.Facility 1 - Trading'!G229</f>
        <v>254064545.11984849</v>
      </c>
      <c r="F8" s="59">
        <f>'12.Facility 1 - Trading'!H229</f>
        <v>278800985.56443214</v>
      </c>
      <c r="G8" s="59">
        <f>'12.Facility 1 - Trading'!I229</f>
        <v>304276047.11205089</v>
      </c>
      <c r="H8" s="59">
        <f>'12.Facility 1 - Trading'!J229</f>
        <v>330489729.76270461</v>
      </c>
    </row>
    <row r="9" spans="1:16">
      <c r="A9" s="57" t="s">
        <v>349</v>
      </c>
      <c r="B9" s="59">
        <f>'13.Facility 2 Grain Processing'!D148</f>
        <v>17949549.319199998</v>
      </c>
      <c r="C9" s="59">
        <f>'13.Facility 2 Grain Processing'!E148</f>
        <v>20455369.029158402</v>
      </c>
      <c r="D9" s="59">
        <f>'13.Facility 2 Grain Processing'!F148</f>
        <v>22755424.853116799</v>
      </c>
      <c r="E9" s="59">
        <f>'13.Facility 2 Grain Processing'!G148</f>
        <v>25128517.990795203</v>
      </c>
      <c r="F9" s="59">
        <f>'13.Facility 2 Grain Processing'!H148</f>
        <v>27574648.442193598</v>
      </c>
      <c r="G9" s="59">
        <f>'13.Facility 2 Grain Processing'!I148</f>
        <v>30093816.207312007</v>
      </c>
      <c r="H9" s="59">
        <f>'13.Facility 2 Grain Processing'!J148</f>
        <v>32686021.286150403</v>
      </c>
    </row>
    <row r="10" spans="1:16">
      <c r="A10" s="57" t="s">
        <v>350</v>
      </c>
      <c r="B10" s="59">
        <f>'14. Facility 3 Warehouse'!D23</f>
        <v>1920000</v>
      </c>
      <c r="C10" s="59">
        <f>'14. Facility 3 Warehouse'!E23</f>
        <v>2080800.0000000005</v>
      </c>
      <c r="D10" s="59">
        <f>'14. Facility 3 Warehouse'!F23</f>
        <v>2246400.0000000005</v>
      </c>
      <c r="E10" s="59">
        <f>'14. Facility 3 Warehouse'!G23</f>
        <v>2416800.0000000009</v>
      </c>
      <c r="F10" s="59">
        <f>'14. Facility 3 Warehouse'!H23</f>
        <v>2592000.0000000014</v>
      </c>
      <c r="G10" s="59">
        <f>'14. Facility 3 Warehouse'!I23</f>
        <v>2640000.0000000014</v>
      </c>
      <c r="H10" s="59">
        <f>'14. Facility 3 Warehouse'!J23</f>
        <v>2688000.0000000014</v>
      </c>
    </row>
    <row r="11" spans="1:16">
      <c r="A11" s="57"/>
      <c r="B11" s="59"/>
      <c r="C11" s="59"/>
      <c r="D11" s="59"/>
      <c r="E11" s="59"/>
      <c r="F11" s="59"/>
      <c r="G11" s="59"/>
      <c r="H11" s="59"/>
      <c r="I11" s="130"/>
      <c r="J11" s="130"/>
      <c r="K11" s="130"/>
      <c r="L11" s="130"/>
      <c r="M11" s="130"/>
      <c r="N11" s="130"/>
    </row>
    <row r="12" spans="1:16">
      <c r="A12" s="60" t="s">
        <v>351</v>
      </c>
      <c r="B12" s="61">
        <f t="shared" ref="B12:H12" si="0">SUM(B8:B11)</f>
        <v>200841571.53352499</v>
      </c>
      <c r="C12" s="61">
        <f t="shared" si="0"/>
        <v>229343696.56894454</v>
      </c>
      <c r="D12" s="61">
        <f t="shared" si="0"/>
        <v>255068550.63141665</v>
      </c>
      <c r="E12" s="61">
        <f t="shared" si="0"/>
        <v>281609863.11064368</v>
      </c>
      <c r="F12" s="61">
        <f t="shared" si="0"/>
        <v>308967634.00662577</v>
      </c>
      <c r="G12" s="61">
        <f t="shared" si="0"/>
        <v>337009863.31936288</v>
      </c>
      <c r="H12" s="61">
        <f t="shared" si="0"/>
        <v>365863751.04885501</v>
      </c>
      <c r="I12" s="130"/>
      <c r="J12" s="130"/>
      <c r="K12" s="130"/>
      <c r="L12" s="130"/>
      <c r="M12" s="130"/>
      <c r="N12" s="130"/>
    </row>
    <row r="13" spans="1:16">
      <c r="A13" s="57"/>
      <c r="B13" s="59"/>
      <c r="C13" s="59"/>
      <c r="D13" s="59"/>
      <c r="E13" s="59"/>
      <c r="F13" s="59"/>
      <c r="G13" s="59"/>
      <c r="H13" s="59"/>
      <c r="I13" s="130"/>
      <c r="J13" s="130"/>
      <c r="K13" s="130"/>
      <c r="L13" s="130"/>
      <c r="M13" s="130"/>
      <c r="N13" s="130"/>
    </row>
    <row r="14" spans="1:16">
      <c r="A14" s="60" t="s">
        <v>352</v>
      </c>
      <c r="B14" s="59"/>
      <c r="C14" s="59"/>
      <c r="D14" s="59"/>
      <c r="E14" s="59"/>
      <c r="F14" s="59"/>
      <c r="G14" s="59"/>
      <c r="H14" s="59"/>
    </row>
    <row r="15" spans="1:16">
      <c r="A15" s="57" t="str">
        <f>A8</f>
        <v>Faclitiy 1 - Cleaning &amp; Grading</v>
      </c>
      <c r="B15" s="59">
        <f>'12.Facility 1 - Trading'!D292</f>
        <v>178450194.77182645</v>
      </c>
      <c r="C15" s="59">
        <f>'12.Facility 1 - Trading'!E292</f>
        <v>204336144.6864557</v>
      </c>
      <c r="D15" s="59">
        <f>'12.Facility 1 - Trading'!F292</f>
        <v>227317611.71897507</v>
      </c>
      <c r="E15" s="59">
        <f>'12.Facility 1 - Trading'!G292</f>
        <v>251018315.96275705</v>
      </c>
      <c r="F15" s="59">
        <f>'12.Facility 1 - Trading'!H292</f>
        <v>275447318.13809377</v>
      </c>
      <c r="G15" s="59">
        <f>'12.Facility 1 - Trading'!I292</f>
        <v>300604618.24498504</v>
      </c>
      <c r="H15" s="59">
        <f>'12.Facility 1 - Trading'!J292</f>
        <v>326490216.28343099</v>
      </c>
      <c r="I15" s="132">
        <f>+B8-B15-B22</f>
        <v>2293827.4424985349</v>
      </c>
      <c r="J15" s="132">
        <f t="shared" ref="J15:P15" si="1">+C8-C15-C22</f>
        <v>2238822.8533304334</v>
      </c>
      <c r="K15" s="132">
        <f t="shared" si="1"/>
        <v>2511994.0593247712</v>
      </c>
      <c r="L15" s="132">
        <f t="shared" si="1"/>
        <v>2804549.1570914388</v>
      </c>
      <c r="M15" s="132">
        <f t="shared" si="1"/>
        <v>3107427.4263383746</v>
      </c>
      <c r="N15" s="132">
        <f t="shared" si="1"/>
        <v>3420628.8670658469</v>
      </c>
      <c r="O15" s="132">
        <f t="shared" si="1"/>
        <v>3744153.4792736173</v>
      </c>
      <c r="P15" s="132">
        <f t="shared" si="1"/>
        <v>-2293827.4424985349</v>
      </c>
    </row>
    <row r="16" spans="1:16">
      <c r="A16" s="57" t="str">
        <f>A9</f>
        <v>Faclitiy 2 - Processing Unit- Dal Mill</v>
      </c>
      <c r="B16" s="59">
        <f>'13.Facility 2 Grain Processing'!D169</f>
        <v>16785220.521154232</v>
      </c>
      <c r="C16" s="59">
        <f>'13.Facility 2 Grain Processing'!E169</f>
        <v>19168272.615779016</v>
      </c>
      <c r="D16" s="59">
        <f>'13.Facility 2 Grain Processing'!F169</f>
        <v>21324111.534751818</v>
      </c>
      <c r="E16" s="59">
        <f>'13.Facility 2 Grain Processing'!G169</f>
        <v>23548432.356573407</v>
      </c>
      <c r="F16" s="59">
        <f>'13.Facility 2 Grain Processing'!H169</f>
        <v>25841235.081243783</v>
      </c>
      <c r="G16" s="59">
        <f>'13.Facility 2 Grain Processing'!I169</f>
        <v>28202519.708762966</v>
      </c>
      <c r="H16" s="59">
        <f>'13.Facility 2 Grain Processing'!J169</f>
        <v>30632286.239130929</v>
      </c>
      <c r="I16" s="132">
        <f>+B9-B16-B23</f>
        <v>936328.79804576561</v>
      </c>
      <c r="J16" s="132">
        <f t="shared" ref="J16:P16" si="2">+C9-C16-C23</f>
        <v>1054536.4133793861</v>
      </c>
      <c r="K16" s="132">
        <f t="shared" si="2"/>
        <v>1194193.3183649816</v>
      </c>
      <c r="L16" s="132">
        <f t="shared" si="2"/>
        <v>1338405.6342217959</v>
      </c>
      <c r="M16" s="132">
        <f t="shared" si="2"/>
        <v>1487173.3609498143</v>
      </c>
      <c r="N16" s="132">
        <f t="shared" si="2"/>
        <v>1640496.4985490404</v>
      </c>
      <c r="O16" s="132">
        <f t="shared" si="2"/>
        <v>1798375.0470194742</v>
      </c>
      <c r="P16" s="132">
        <f t="shared" si="2"/>
        <v>-936352.03359427548</v>
      </c>
    </row>
    <row r="17" spans="1:16">
      <c r="A17" s="57" t="str">
        <f>A10</f>
        <v>Faclitiy 3 - Warehouse</v>
      </c>
      <c r="B17" s="59">
        <f>'14. Facility 3 Warehouse'!D34</f>
        <v>696000</v>
      </c>
      <c r="C17" s="59">
        <f>'14. Facility 3 Warehouse'!E34</f>
        <v>709920</v>
      </c>
      <c r="D17" s="59">
        <f>'14. Facility 3 Warehouse'!F34</f>
        <v>723840</v>
      </c>
      <c r="E17" s="59">
        <f>'14. Facility 3 Warehouse'!G34</f>
        <v>737760</v>
      </c>
      <c r="F17" s="59">
        <f>'14. Facility 3 Warehouse'!H34</f>
        <v>751680.00000000012</v>
      </c>
      <c r="G17" s="59">
        <f>'14. Facility 3 Warehouse'!I34</f>
        <v>765600</v>
      </c>
      <c r="H17" s="59">
        <f>'14. Facility 3 Warehouse'!J34</f>
        <v>779520</v>
      </c>
      <c r="I17" s="132">
        <f>+B10-B17-B24</f>
        <v>984000</v>
      </c>
      <c r="J17" s="132">
        <f t="shared" ref="J17:P17" si="3">+C10-C17-C24</f>
        <v>1126080.0000000005</v>
      </c>
      <c r="K17" s="132">
        <f t="shared" si="3"/>
        <v>1272960.0000000005</v>
      </c>
      <c r="L17" s="132">
        <f t="shared" si="3"/>
        <v>1424640.0000000009</v>
      </c>
      <c r="M17" s="132">
        <f t="shared" si="3"/>
        <v>1581120.0000000014</v>
      </c>
      <c r="N17" s="132">
        <f t="shared" si="3"/>
        <v>1610400.0000000014</v>
      </c>
      <c r="O17" s="132">
        <f t="shared" si="3"/>
        <v>1639680.0000000014</v>
      </c>
      <c r="P17" s="132">
        <f t="shared" si="3"/>
        <v>-984008.54135353025</v>
      </c>
    </row>
    <row r="18" spans="1:16" ht="15.75" customHeight="1">
      <c r="A18" s="57"/>
      <c r="B18" s="59"/>
      <c r="C18" s="59"/>
      <c r="D18" s="59"/>
      <c r="E18" s="59"/>
      <c r="F18" s="59"/>
      <c r="G18" s="59"/>
      <c r="H18" s="59"/>
    </row>
    <row r="19" spans="1:16" ht="15.75" customHeight="1">
      <c r="A19" s="60" t="s">
        <v>353</v>
      </c>
      <c r="B19" s="61">
        <f t="shared" ref="B19:H19" si="4">SUM(B15:B18)</f>
        <v>195931415.29298067</v>
      </c>
      <c r="C19" s="61">
        <f t="shared" si="4"/>
        <v>224214337.30223471</v>
      </c>
      <c r="D19" s="61">
        <f t="shared" si="4"/>
        <v>249365563.2537269</v>
      </c>
      <c r="E19" s="61">
        <f t="shared" si="4"/>
        <v>275304508.31933045</v>
      </c>
      <c r="F19" s="61">
        <f t="shared" si="4"/>
        <v>302040233.21933758</v>
      </c>
      <c r="G19" s="61">
        <f t="shared" si="4"/>
        <v>329572737.95374799</v>
      </c>
      <c r="H19" s="61">
        <f t="shared" si="4"/>
        <v>357902022.52256191</v>
      </c>
      <c r="I19" s="190">
        <f>+I15/'2.Capex Details'!G6+'2.Capex Details'!G25+'2.Capex Details'!L26</f>
        <v>9872060.6553792693</v>
      </c>
      <c r="J19" s="195">
        <f>+I15/B8*100</f>
        <v>1.267503901670479</v>
      </c>
    </row>
    <row r="20" spans="1:16" ht="15.75" customHeight="1">
      <c r="A20" s="57"/>
      <c r="B20" s="59"/>
      <c r="C20" s="59"/>
      <c r="D20" s="59"/>
      <c r="E20" s="59"/>
      <c r="F20" s="59"/>
      <c r="G20" s="59"/>
      <c r="H20" s="59"/>
      <c r="I20">
        <f>+'2.Capex Details'!G20+'2.Capex Details'!L26+'2.Capex Details'!G27+'2.Capex Details'!G6</f>
        <v>10962300</v>
      </c>
      <c r="J20" s="195">
        <f>+I16/B9*100</f>
        <v>5.2164473959477515</v>
      </c>
    </row>
    <row r="21" spans="1:16" ht="15.75" customHeight="1">
      <c r="A21" s="60" t="s">
        <v>354</v>
      </c>
      <c r="B21" s="59"/>
      <c r="C21" s="59"/>
      <c r="D21" s="59"/>
      <c r="E21" s="59"/>
      <c r="F21" s="59"/>
      <c r="G21" s="59"/>
      <c r="H21" s="59"/>
      <c r="I21">
        <f>+'2.Capex Details'!G7+'2.Capex Details'!L26</f>
        <v>9530240</v>
      </c>
      <c r="J21" s="195">
        <f>+I17/B10*100</f>
        <v>51.249999999999993</v>
      </c>
    </row>
    <row r="22" spans="1:16" ht="15.75" customHeight="1">
      <c r="A22" s="57" t="str">
        <f>A15</f>
        <v>Faclitiy 1 - Cleaning &amp; Grading</v>
      </c>
      <c r="B22" s="59">
        <f>'12.Facility 1 - Trading'!D301</f>
        <v>228000</v>
      </c>
      <c r="C22" s="59">
        <f>'12.Facility 1 - Trading'!E301</f>
        <v>232560</v>
      </c>
      <c r="D22" s="59">
        <f>'12.Facility 1 - Trading'!F301</f>
        <v>237120</v>
      </c>
      <c r="E22" s="59">
        <f>'12.Facility 1 - Trading'!G301</f>
        <v>241680</v>
      </c>
      <c r="F22" s="59">
        <f>'12.Facility 1 - Trading'!H301</f>
        <v>246240.00000000003</v>
      </c>
      <c r="G22" s="59">
        <f>'12.Facility 1 - Trading'!I301</f>
        <v>250800.00000000003</v>
      </c>
      <c r="H22" s="59">
        <f>'12.Facility 1 - Trading'!J301</f>
        <v>255360.00000000003</v>
      </c>
    </row>
    <row r="23" spans="1:16" ht="15.75" customHeight="1">
      <c r="A23" s="57" t="str">
        <f>A16</f>
        <v>Faclitiy 2 - Processing Unit- Dal Mill</v>
      </c>
      <c r="B23" s="59">
        <f>'13.Facility 2 Grain Processing'!D177</f>
        <v>228000</v>
      </c>
      <c r="C23" s="59">
        <f>'13.Facility 2 Grain Processing'!E177</f>
        <v>232560</v>
      </c>
      <c r="D23" s="59">
        <f>'13.Facility 2 Grain Processing'!F177</f>
        <v>237120</v>
      </c>
      <c r="E23" s="59">
        <f>'13.Facility 2 Grain Processing'!G177</f>
        <v>241680</v>
      </c>
      <c r="F23" s="59">
        <f>'13.Facility 2 Grain Processing'!H177</f>
        <v>246240.00000000003</v>
      </c>
      <c r="G23" s="59">
        <f>'13.Facility 2 Grain Processing'!I177</f>
        <v>250800.00000000003</v>
      </c>
      <c r="H23" s="59">
        <f>'13.Facility 2 Grain Processing'!J177</f>
        <v>255360.00000000003</v>
      </c>
      <c r="I23" s="191">
        <f>+I15/I19*100</f>
        <v>23.235548509810179</v>
      </c>
      <c r="J23" s="191">
        <f>+J15/I19*100</f>
        <v>22.678374166091679</v>
      </c>
      <c r="K23" s="191">
        <f>+K15/I19*100</f>
        <v>25.445488505543061</v>
      </c>
    </row>
    <row r="24" spans="1:16" ht="15.75" customHeight="1">
      <c r="A24" s="57" t="str">
        <f>A17</f>
        <v>Faclitiy 3 - Warehouse</v>
      </c>
      <c r="B24" s="59">
        <f>'14. Facility 3 Warehouse'!D43</f>
        <v>240000</v>
      </c>
      <c r="C24" s="59">
        <f>'14. Facility 3 Warehouse'!E43</f>
        <v>244800</v>
      </c>
      <c r="D24" s="59">
        <f>'14. Facility 3 Warehouse'!F43</f>
        <v>249600</v>
      </c>
      <c r="E24" s="59">
        <f>'14. Facility 3 Warehouse'!G43</f>
        <v>254400</v>
      </c>
      <c r="F24" s="59">
        <f>'14. Facility 3 Warehouse'!H43</f>
        <v>259200</v>
      </c>
      <c r="G24" s="59">
        <f>'14. Facility 3 Warehouse'!I43</f>
        <v>264000</v>
      </c>
      <c r="H24" s="59">
        <f>'14. Facility 3 Warehouse'!J43</f>
        <v>268800.00000000006</v>
      </c>
      <c r="I24">
        <f>+I16/I20*100</f>
        <v>8.5413535302424286</v>
      </c>
      <c r="J24" s="191">
        <f>+J16/I20*100</f>
        <v>9.6196638787424718</v>
      </c>
      <c r="K24" s="191">
        <f>+K16/I20*100</f>
        <v>10.893638363892446</v>
      </c>
    </row>
    <row r="25" spans="1:16" ht="15.75" customHeight="1">
      <c r="A25" s="57" t="s">
        <v>355</v>
      </c>
      <c r="B25" s="59">
        <f>'3.Other Exp &amp; Taxes'!E19</f>
        <v>723000</v>
      </c>
      <c r="C25" s="59">
        <f>'3.Other Exp &amp; Taxes'!F19</f>
        <v>759150</v>
      </c>
      <c r="D25" s="59">
        <f>'3.Other Exp &amp; Taxes'!G19</f>
        <v>797107.5</v>
      </c>
      <c r="E25" s="59">
        <f>'3.Other Exp &amp; Taxes'!H19</f>
        <v>836962.87500000012</v>
      </c>
      <c r="F25" s="59">
        <f>'3.Other Exp &amp; Taxes'!I19</f>
        <v>878811.01875000016</v>
      </c>
      <c r="G25" s="59">
        <f>'3.Other Exp &amp; Taxes'!J19</f>
        <v>922751.56968750013</v>
      </c>
      <c r="H25" s="59">
        <f>'3.Other Exp &amp; Taxes'!K19</f>
        <v>968889.14817187539</v>
      </c>
      <c r="I25">
        <f>+I17/I21*100</f>
        <v>10.325028540729301</v>
      </c>
      <c r="J25" s="191">
        <f>+J17/I21*100</f>
        <v>11.815861930024854</v>
      </c>
      <c r="K25" s="191">
        <f>+K17/I21*100</f>
        <v>13.357061312202006</v>
      </c>
    </row>
    <row r="26" spans="1:16" ht="15.75" customHeight="1">
      <c r="A26" s="60" t="s">
        <v>356</v>
      </c>
      <c r="B26" s="61">
        <f t="shared" ref="B26:H26" si="5">SUM(B22:B25)</f>
        <v>1419000</v>
      </c>
      <c r="C26" s="61">
        <f t="shared" si="5"/>
        <v>1469070</v>
      </c>
      <c r="D26" s="61">
        <f t="shared" si="5"/>
        <v>1520947.5</v>
      </c>
      <c r="E26" s="61">
        <f t="shared" si="5"/>
        <v>1574722.875</v>
      </c>
      <c r="F26" s="61">
        <f t="shared" si="5"/>
        <v>1630491.0187500003</v>
      </c>
      <c r="G26" s="61">
        <f t="shared" si="5"/>
        <v>1688351.5696875001</v>
      </c>
      <c r="H26" s="61">
        <f t="shared" si="5"/>
        <v>1748409.1481718756</v>
      </c>
    </row>
    <row r="27" spans="1:16" ht="15.75" customHeight="1">
      <c r="A27" s="57"/>
      <c r="B27" s="59"/>
      <c r="C27" s="59"/>
      <c r="D27" s="59"/>
      <c r="E27" s="59"/>
      <c r="F27" s="59"/>
      <c r="G27" s="59"/>
      <c r="H27" s="59"/>
    </row>
    <row r="28" spans="1:16" ht="15.75" customHeight="1">
      <c r="A28" s="60" t="s">
        <v>357</v>
      </c>
      <c r="B28" s="61">
        <f t="shared" ref="B28:H28" si="6">B19+B26</f>
        <v>197350415.29298067</v>
      </c>
      <c r="C28" s="61">
        <f t="shared" si="6"/>
        <v>225683407.30223471</v>
      </c>
      <c r="D28" s="61">
        <f t="shared" si="6"/>
        <v>250886510.7537269</v>
      </c>
      <c r="E28" s="61">
        <f t="shared" si="6"/>
        <v>276879231.19433045</v>
      </c>
      <c r="F28" s="61">
        <f t="shared" si="6"/>
        <v>303670724.23808759</v>
      </c>
      <c r="G28" s="61">
        <f t="shared" si="6"/>
        <v>331261089.52343547</v>
      </c>
      <c r="H28" s="61">
        <f t="shared" si="6"/>
        <v>359650431.67073381</v>
      </c>
    </row>
    <row r="29" spans="1:16" ht="15.75" customHeight="1">
      <c r="A29" s="57"/>
      <c r="B29" s="59"/>
      <c r="C29" s="59"/>
      <c r="D29" s="59"/>
      <c r="E29" s="59"/>
      <c r="F29" s="59"/>
      <c r="G29" s="59"/>
      <c r="H29" s="59"/>
    </row>
    <row r="30" spans="1:16" ht="15.75" customHeight="1">
      <c r="A30" s="60" t="s">
        <v>358</v>
      </c>
      <c r="B30" s="61">
        <f t="shared" ref="B30:H30" si="7">B12-B28</f>
        <v>3491156.2405443192</v>
      </c>
      <c r="C30" s="61">
        <f t="shared" si="7"/>
        <v>3660289.2667098343</v>
      </c>
      <c r="D30" s="61">
        <f t="shared" si="7"/>
        <v>4182039.877689749</v>
      </c>
      <c r="E30" s="61">
        <f t="shared" si="7"/>
        <v>4730631.916313231</v>
      </c>
      <c r="F30" s="61">
        <f t="shared" si="7"/>
        <v>5296909.768538177</v>
      </c>
      <c r="G30" s="61">
        <f t="shared" si="7"/>
        <v>5748773.7959274054</v>
      </c>
      <c r="H30" s="61">
        <f t="shared" si="7"/>
        <v>6213319.3781211972</v>
      </c>
      <c r="J30" s="132">
        <f>B39+B32+B33</f>
        <v>2076671.9931155005</v>
      </c>
    </row>
    <row r="31" spans="1:16" ht="15.75" customHeight="1">
      <c r="A31" s="57"/>
      <c r="B31" s="59"/>
      <c r="C31" s="59"/>
      <c r="D31" s="59"/>
      <c r="E31" s="59"/>
      <c r="F31" s="59"/>
      <c r="G31" s="59"/>
      <c r="H31" s="59"/>
      <c r="J31" s="133">
        <f>'5.Closing Stock &amp; W Capital'!E52</f>
        <v>1577522.2344242863</v>
      </c>
    </row>
    <row r="32" spans="1:16" ht="15.75" customHeight="1">
      <c r="A32" s="57" t="s">
        <v>179</v>
      </c>
      <c r="B32" s="59">
        <f>'3.Other Exp &amp; Taxes'!C62</f>
        <v>1744584.676</v>
      </c>
      <c r="C32" s="59">
        <f>'3.Other Exp &amp; Taxes'!D62</f>
        <v>1744584.676</v>
      </c>
      <c r="D32" s="59">
        <f>'3.Other Exp &amp; Taxes'!E62</f>
        <v>1744584.676</v>
      </c>
      <c r="E32" s="59">
        <f>'3.Other Exp &amp; Taxes'!F62</f>
        <v>1744584.676</v>
      </c>
      <c r="F32" s="59">
        <f>'3.Other Exp &amp; Taxes'!G62</f>
        <v>1744584.676</v>
      </c>
      <c r="G32" s="59">
        <f>'3.Other Exp &amp; Taxes'!H62</f>
        <v>1744584.676</v>
      </c>
      <c r="H32" s="59">
        <f>'3.Other Exp &amp; Taxes'!I62</f>
        <v>1744584.676</v>
      </c>
      <c r="J32" s="132">
        <f>J30+J31</f>
        <v>3654194.2275397871</v>
      </c>
    </row>
    <row r="33" spans="1:8" ht="15.75" customHeight="1">
      <c r="A33" s="57" t="s">
        <v>359</v>
      </c>
      <c r="B33" s="59">
        <f>'3.Other Exp &amp; Taxes'!C82</f>
        <v>100000</v>
      </c>
      <c r="C33" s="59">
        <f>'3.Other Exp &amp; Taxes'!D82</f>
        <v>100000</v>
      </c>
      <c r="D33" s="59">
        <f>'3.Other Exp &amp; Taxes'!E82</f>
        <v>100000</v>
      </c>
      <c r="E33" s="59">
        <f>'3.Other Exp &amp; Taxes'!F82</f>
        <v>100000</v>
      </c>
      <c r="F33" s="59">
        <f>'3.Other Exp &amp; Taxes'!G82</f>
        <v>100000</v>
      </c>
      <c r="G33" s="59">
        <f>'3.Other Exp &amp; Taxes'!H82</f>
        <v>0</v>
      </c>
      <c r="H33" s="59">
        <f>'3.Other Exp &amp; Taxes'!I82</f>
        <v>0</v>
      </c>
    </row>
    <row r="34" spans="1:8" ht="15.75" customHeight="1">
      <c r="A34" s="57"/>
      <c r="B34" s="59"/>
      <c r="C34" s="59"/>
      <c r="D34" s="59"/>
      <c r="E34" s="59"/>
      <c r="F34" s="59"/>
      <c r="G34" s="59"/>
      <c r="H34" s="59"/>
    </row>
    <row r="35" spans="1:8" ht="15.75" customHeight="1">
      <c r="A35" s="60" t="s">
        <v>360</v>
      </c>
      <c r="B35" s="61">
        <f t="shared" ref="B35:H35" si="8">B30-B32-B33</f>
        <v>1646571.5645443192</v>
      </c>
      <c r="C35" s="61">
        <f t="shared" si="8"/>
        <v>1815704.5907098344</v>
      </c>
      <c r="D35" s="61">
        <f t="shared" si="8"/>
        <v>2337455.201689749</v>
      </c>
      <c r="E35" s="61">
        <f t="shared" si="8"/>
        <v>2886047.240313231</v>
      </c>
      <c r="F35" s="61">
        <f t="shared" si="8"/>
        <v>3452325.092538177</v>
      </c>
      <c r="G35" s="61">
        <f t="shared" si="8"/>
        <v>4004189.1199274054</v>
      </c>
      <c r="H35" s="61">
        <f t="shared" si="8"/>
        <v>4468734.7021211972</v>
      </c>
    </row>
    <row r="36" spans="1:8" ht="15.75" customHeight="1">
      <c r="A36" s="57"/>
      <c r="B36" s="59"/>
      <c r="C36" s="199"/>
      <c r="D36" s="199"/>
      <c r="E36" s="199"/>
      <c r="F36" s="199"/>
      <c r="G36" s="199"/>
      <c r="H36" s="199"/>
    </row>
    <row r="37" spans="1:8" ht="15.75" customHeight="1">
      <c r="A37" s="57" t="s">
        <v>361</v>
      </c>
      <c r="B37" s="59">
        <f>+'8.Cash Flow '!C26</f>
        <v>963573.7603433507</v>
      </c>
      <c r="C37" s="59">
        <f>+'8.Cash Flow '!D26</f>
        <v>864636.61367502424</v>
      </c>
      <c r="D37" s="59">
        <f>+'8.Cash Flow '!E26</f>
        <v>734605.49269195239</v>
      </c>
      <c r="E37" s="59">
        <f>+'8.Cash Flow '!F26</f>
        <v>586625.85339255305</v>
      </c>
      <c r="F37" s="59">
        <f>+'8.Cash Flow '!G26</f>
        <v>418220.21725233085</v>
      </c>
      <c r="G37" s="59">
        <f>+'8.Cash Flow '!H26</f>
        <v>226569.13323790996</v>
      </c>
      <c r="H37" s="59">
        <f>+'8.Cash Flow '!I26</f>
        <v>33285.560679731447</v>
      </c>
    </row>
    <row r="38" spans="1:8" ht="15.75" customHeight="1">
      <c r="A38" s="57" t="s">
        <v>724</v>
      </c>
      <c r="B38" s="59">
        <f>+'7.Balance Sheet'!B24*10.25%</f>
        <v>450910.48708546796</v>
      </c>
      <c r="C38" s="59">
        <f>+'7.Balance Sheet'!C24*10%</f>
        <v>439912.67032728589</v>
      </c>
      <c r="D38" s="59">
        <f>+'7.Balance Sheet'!D24*10%</f>
        <v>439912.67032728589</v>
      </c>
      <c r="E38" s="59">
        <f>+'7.Balance Sheet'!E24*10%</f>
        <v>439912.67032728589</v>
      </c>
      <c r="F38" s="59">
        <f>+'7.Balance Sheet'!F24*10%</f>
        <v>439912.67032728589</v>
      </c>
      <c r="G38" s="59">
        <f>+'7.Balance Sheet'!G24*10%</f>
        <v>439912.67032728589</v>
      </c>
      <c r="H38" s="59">
        <f>+'7.Balance Sheet'!H24*10%</f>
        <v>439912.67032728589</v>
      </c>
    </row>
    <row r="39" spans="1:8" ht="15.75" customHeight="1">
      <c r="A39" s="57" t="s">
        <v>362</v>
      </c>
      <c r="B39" s="59">
        <f>B35-B37-B38</f>
        <v>232087.31711550051</v>
      </c>
      <c r="C39" s="59">
        <f t="shared" ref="C39:H39" si="9">C35-C37-C38</f>
        <v>511155.30670752423</v>
      </c>
      <c r="D39" s="59">
        <f t="shared" si="9"/>
        <v>1162937.038670511</v>
      </c>
      <c r="E39" s="59">
        <f t="shared" si="9"/>
        <v>1859508.7165933922</v>
      </c>
      <c r="F39" s="59">
        <f t="shared" si="9"/>
        <v>2594192.2049585604</v>
      </c>
      <c r="G39" s="59">
        <f t="shared" si="9"/>
        <v>3337707.3163622096</v>
      </c>
      <c r="H39" s="59">
        <f t="shared" si="9"/>
        <v>3995536.4711141796</v>
      </c>
    </row>
    <row r="40" spans="1:8" ht="15.75" customHeight="1">
      <c r="A40" s="57" t="s">
        <v>363</v>
      </c>
      <c r="B40" s="59">
        <f>+IF('3.Other Exp &amp; Taxes'!B95&lt;0,0,'3.Other Exp &amp; Taxes'!B95)</f>
        <v>0</v>
      </c>
      <c r="C40" s="59">
        <f>+IF('3.Other Exp &amp; Taxes'!C95&lt;0,0,'3.Other Exp &amp; Taxes'!C95)</f>
        <v>0</v>
      </c>
      <c r="D40" s="59">
        <f>+IF('3.Other Exp &amp; Taxes'!D95&lt;0,0,'3.Other Exp &amp; Taxes'!D95)</f>
        <v>0</v>
      </c>
      <c r="E40" s="59">
        <f>+IF('3.Other Exp &amp; Taxes'!E95&lt;0,0,'3.Other Exp &amp; Taxes'!E95)</f>
        <v>207103.65908528195</v>
      </c>
      <c r="F40" s="59">
        <f>+IF('3.Other Exp &amp; Taxes'!F95&lt;0,0,'3.Other Exp &amp; Taxes'!F95)</f>
        <v>494256.66907657584</v>
      </c>
      <c r="G40" s="59">
        <f>+IF('3.Other Exp &amp; Taxes'!G95&lt;0,0,'3.Other Exp &amp; Taxes'!G95)</f>
        <v>770441.16724382201</v>
      </c>
      <c r="H40" s="59">
        <f>+IF('3.Other Exp &amp; Taxes'!H95&lt;0,0,'3.Other Exp &amp; Taxes'!H95)</f>
        <v>1013028.8637377671</v>
      </c>
    </row>
    <row r="41" spans="1:8" ht="15.75" customHeight="1">
      <c r="A41" s="60" t="s">
        <v>364</v>
      </c>
      <c r="B41" s="59">
        <f t="shared" ref="B41:H41" si="10">B39-B40</f>
        <v>232087.31711550051</v>
      </c>
      <c r="C41" s="59">
        <f t="shared" si="10"/>
        <v>511155.30670752423</v>
      </c>
      <c r="D41" s="59">
        <f t="shared" si="10"/>
        <v>1162937.038670511</v>
      </c>
      <c r="E41" s="59">
        <f t="shared" si="10"/>
        <v>1652405.0575081103</v>
      </c>
      <c r="F41" s="59">
        <f t="shared" si="10"/>
        <v>2099935.5358819845</v>
      </c>
      <c r="G41" s="59">
        <f t="shared" si="10"/>
        <v>2567266.1491183876</v>
      </c>
      <c r="H41" s="59">
        <f t="shared" si="10"/>
        <v>2982507.6073764125</v>
      </c>
    </row>
    <row r="42" spans="1:8" ht="15.75" customHeight="1">
      <c r="A42" s="52"/>
      <c r="B42" s="96"/>
      <c r="C42" s="96"/>
      <c r="D42" s="96"/>
      <c r="E42" s="96"/>
      <c r="F42" s="96"/>
      <c r="G42" s="96"/>
      <c r="H42" s="96"/>
    </row>
    <row r="43" spans="1:8" ht="15.75" customHeight="1">
      <c r="A43" s="52" t="s">
        <v>365</v>
      </c>
      <c r="B43" s="96">
        <f>B41</f>
        <v>232087.31711550051</v>
      </c>
      <c r="C43" s="96">
        <f t="shared" ref="C43:H43" si="11">B43+C41</f>
        <v>743242.6238230248</v>
      </c>
      <c r="D43" s="96">
        <f t="shared" si="11"/>
        <v>1906179.6624935358</v>
      </c>
      <c r="E43" s="96">
        <f t="shared" si="11"/>
        <v>3558584.7200016463</v>
      </c>
      <c r="F43" s="96">
        <f t="shared" si="11"/>
        <v>5658520.2558836304</v>
      </c>
      <c r="G43" s="96">
        <f t="shared" si="11"/>
        <v>8225786.4050020184</v>
      </c>
      <c r="H43" s="96">
        <f t="shared" si="11"/>
        <v>11208294.012378432</v>
      </c>
    </row>
    <row r="44" spans="1:8" ht="15.75" customHeight="1"/>
    <row r="45" spans="1:8" ht="15.75" customHeight="1"/>
    <row r="46" spans="1:8" ht="32.25" customHeight="1">
      <c r="A46" s="295" t="s">
        <v>366</v>
      </c>
      <c r="B46" s="295"/>
      <c r="C46" s="295"/>
      <c r="D46" s="295"/>
      <c r="E46" s="295"/>
      <c r="F46" s="295"/>
      <c r="G46" s="295"/>
      <c r="H46" s="295"/>
    </row>
    <row r="47" spans="1:8" ht="15.75" customHeight="1"/>
    <row r="48" spans="1:8" ht="15.75" customHeight="1">
      <c r="A48" s="134"/>
    </row>
    <row r="49" spans="2:8" ht="15.75" customHeight="1"/>
    <row r="50" spans="2:8" ht="15.75" customHeight="1">
      <c r="B50" s="132">
        <f>+B37+B38</f>
        <v>1414484.2474288186</v>
      </c>
      <c r="C50" s="132">
        <f t="shared" ref="C50:H50" si="12">+C37+C38</f>
        <v>1304549.2840023101</v>
      </c>
      <c r="D50" s="132">
        <f t="shared" si="12"/>
        <v>1174518.1630192383</v>
      </c>
      <c r="E50" s="132">
        <f t="shared" si="12"/>
        <v>1026538.5237198389</v>
      </c>
      <c r="F50" s="132">
        <f t="shared" si="12"/>
        <v>858132.88757961674</v>
      </c>
      <c r="G50" s="132">
        <f t="shared" si="12"/>
        <v>666481.80356519588</v>
      </c>
      <c r="H50" s="132">
        <f t="shared" si="12"/>
        <v>473198.23100701731</v>
      </c>
    </row>
    <row r="51" spans="2:8" ht="15.75" customHeight="1"/>
    <row r="52" spans="2:8" ht="15.75" customHeight="1"/>
    <row r="53" spans="2:8" ht="15.75" customHeight="1"/>
    <row r="54" spans="2:8" ht="15.75" customHeight="1">
      <c r="B54" s="132">
        <f>+B22+B23+B24</f>
        <v>696000</v>
      </c>
      <c r="C54" s="132">
        <f t="shared" ref="C54:H54" si="13">+C22+C23+C24</f>
        <v>709920</v>
      </c>
      <c r="D54" s="132">
        <f t="shared" si="13"/>
        <v>723840</v>
      </c>
      <c r="E54" s="132">
        <f t="shared" si="13"/>
        <v>737760</v>
      </c>
      <c r="F54" s="132">
        <f t="shared" si="13"/>
        <v>751680</v>
      </c>
      <c r="G54" s="132">
        <f t="shared" si="13"/>
        <v>765600</v>
      </c>
      <c r="H54" s="132">
        <f t="shared" si="13"/>
        <v>779520.00000000012</v>
      </c>
    </row>
    <row r="55" spans="2:8" ht="15.75" customHeight="1"/>
    <row r="56" spans="2:8" ht="15.75" customHeight="1"/>
    <row r="57" spans="2:8" ht="15.75" customHeight="1"/>
    <row r="58" spans="2:8" ht="15.75" customHeight="1"/>
    <row r="59" spans="2:8" ht="15.75" customHeight="1"/>
    <row r="60" spans="2:8" ht="15.75" customHeight="1"/>
    <row r="61" spans="2:8" ht="15.75" customHeight="1"/>
    <row r="62" spans="2:8" ht="15.75" customHeight="1"/>
    <row r="63" spans="2:8" ht="15.75" customHeight="1"/>
    <row r="64" spans="2:8"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sheetData>
  <mergeCells count="2">
    <mergeCell ref="A2:H2"/>
    <mergeCell ref="A46:H46"/>
  </mergeCells>
  <pageMargins left="0.7" right="0.7" top="0.75" bottom="0.75" header="0" footer="0"/>
  <pageSetup scale="61" orientation="landscape" r:id="rId1"/>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99"/>
  <sheetViews>
    <sheetView view="pageBreakPreview" topLeftCell="A18" zoomScale="60" workbookViewId="0">
      <selection activeCell="C18" sqref="C18"/>
    </sheetView>
  </sheetViews>
  <sheetFormatPr defaultColWidth="14.42578125" defaultRowHeight="15" customHeight="1"/>
  <cols>
    <col min="1" max="1" width="51.42578125" style="246" customWidth="1"/>
    <col min="2" max="2" width="21.5703125" style="246" customWidth="1"/>
    <col min="3" max="3" width="21.85546875" style="246" customWidth="1"/>
    <col min="4" max="4" width="20.140625" style="246" customWidth="1"/>
    <col min="5" max="5" width="22.140625" style="246" customWidth="1"/>
    <col min="6" max="6" width="22" style="246" customWidth="1"/>
    <col min="7" max="7" width="21.5703125" style="246" customWidth="1"/>
    <col min="8" max="8" width="19.28515625" style="246" customWidth="1"/>
    <col min="9" max="9" width="9.140625" style="246" customWidth="1"/>
    <col min="10" max="10" width="32.85546875" style="246" customWidth="1"/>
    <col min="11" max="16" width="8.7109375" style="246" customWidth="1"/>
    <col min="17" max="17" width="10.140625" style="246" customWidth="1"/>
    <col min="18" max="18" width="9.140625" style="246" customWidth="1"/>
    <col min="19" max="16384" width="14.42578125" style="246"/>
  </cols>
  <sheetData>
    <row r="1" spans="1:18" ht="12">
      <c r="A1" s="296"/>
      <c r="B1" s="297"/>
      <c r="C1" s="297"/>
      <c r="D1" s="297"/>
      <c r="E1" s="297"/>
      <c r="F1" s="297"/>
      <c r="G1" s="245"/>
      <c r="H1" s="245"/>
      <c r="I1" s="245"/>
      <c r="J1" s="245"/>
      <c r="K1" s="245"/>
      <c r="L1" s="245"/>
      <c r="M1" s="245"/>
      <c r="N1" s="245"/>
      <c r="O1" s="245"/>
      <c r="P1" s="245"/>
      <c r="Q1" s="245"/>
      <c r="R1" s="245"/>
    </row>
    <row r="2" spans="1:18" ht="15.75">
      <c r="A2" s="314" t="s">
        <v>367</v>
      </c>
      <c r="B2" s="315"/>
      <c r="C2" s="315"/>
      <c r="D2" s="315"/>
      <c r="E2" s="315"/>
      <c r="F2" s="315"/>
      <c r="G2" s="315"/>
      <c r="H2" s="315"/>
      <c r="I2" s="247"/>
      <c r="J2" s="245"/>
      <c r="K2" s="245"/>
      <c r="L2" s="245"/>
      <c r="M2" s="245"/>
      <c r="N2" s="245"/>
      <c r="O2" s="245"/>
      <c r="P2" s="245"/>
      <c r="Q2" s="245"/>
      <c r="R2" s="245"/>
    </row>
    <row r="3" spans="1:18" ht="15.75">
      <c r="A3" s="316"/>
      <c r="B3" s="317"/>
      <c r="C3" s="317"/>
      <c r="D3" s="317"/>
      <c r="E3" s="317"/>
      <c r="F3" s="317"/>
      <c r="G3" s="318"/>
      <c r="H3" s="318"/>
      <c r="I3" s="245"/>
      <c r="J3" s="245"/>
      <c r="K3" s="245"/>
      <c r="L3" s="245"/>
      <c r="M3" s="245"/>
      <c r="N3" s="245"/>
      <c r="O3" s="245"/>
      <c r="P3" s="245"/>
      <c r="Q3" s="245"/>
      <c r="R3" s="245"/>
    </row>
    <row r="4" spans="1:18" ht="15.75">
      <c r="A4" s="319" t="s">
        <v>150</v>
      </c>
      <c r="B4" s="320" t="s">
        <v>153</v>
      </c>
      <c r="C4" s="320" t="s">
        <v>154</v>
      </c>
      <c r="D4" s="320" t="s">
        <v>155</v>
      </c>
      <c r="E4" s="320" t="s">
        <v>156</v>
      </c>
      <c r="F4" s="320" t="s">
        <v>157</v>
      </c>
      <c r="G4" s="321" t="s">
        <v>158</v>
      </c>
      <c r="H4" s="321" t="s">
        <v>159</v>
      </c>
      <c r="I4" s="245"/>
      <c r="J4" s="245"/>
      <c r="K4" s="245"/>
      <c r="L4" s="245"/>
      <c r="M4" s="245"/>
      <c r="N4" s="245"/>
      <c r="O4" s="245"/>
      <c r="P4" s="245"/>
      <c r="Q4" s="245"/>
      <c r="R4" s="245"/>
    </row>
    <row r="5" spans="1:18" ht="15.75">
      <c r="A5" s="322"/>
      <c r="B5" s="323"/>
      <c r="C5" s="324"/>
      <c r="D5" s="324"/>
      <c r="E5" s="324"/>
      <c r="F5" s="324"/>
      <c r="G5" s="324"/>
      <c r="H5" s="324"/>
      <c r="I5" s="245"/>
      <c r="J5" s="245"/>
      <c r="K5" s="245"/>
      <c r="L5" s="245"/>
      <c r="M5" s="245"/>
      <c r="N5" s="245"/>
      <c r="O5" s="245"/>
      <c r="P5" s="245"/>
      <c r="Q5" s="245"/>
      <c r="R5" s="245"/>
    </row>
    <row r="6" spans="1:18" ht="15.75">
      <c r="A6" s="325" t="s">
        <v>368</v>
      </c>
      <c r="B6" s="326"/>
      <c r="C6" s="326"/>
      <c r="D6" s="326"/>
      <c r="E6" s="326"/>
      <c r="F6" s="326"/>
      <c r="G6" s="326"/>
      <c r="H6" s="326"/>
      <c r="I6" s="245"/>
      <c r="J6" s="245"/>
      <c r="K6" s="245"/>
      <c r="L6" s="245"/>
      <c r="M6" s="245"/>
      <c r="N6" s="245"/>
      <c r="O6" s="245"/>
      <c r="P6" s="245"/>
      <c r="Q6" s="245"/>
      <c r="R6" s="245"/>
    </row>
    <row r="7" spans="1:18" ht="15.75">
      <c r="A7" s="327" t="s">
        <v>369</v>
      </c>
      <c r="B7" s="328"/>
      <c r="C7" s="328"/>
      <c r="D7" s="328"/>
      <c r="E7" s="328"/>
      <c r="F7" s="328"/>
      <c r="G7" s="328"/>
      <c r="H7" s="328"/>
      <c r="I7" s="245"/>
      <c r="J7" s="245"/>
      <c r="K7" s="245"/>
      <c r="L7" s="245"/>
      <c r="M7" s="245"/>
      <c r="N7" s="245"/>
      <c r="O7" s="245"/>
      <c r="P7" s="245"/>
      <c r="Q7" s="245"/>
      <c r="R7" s="245"/>
    </row>
    <row r="8" spans="1:18" ht="15.75">
      <c r="A8" s="327" t="s">
        <v>370</v>
      </c>
      <c r="B8" s="329">
        <f>'8.Cash Flow '!C33</f>
        <v>1649411.0846521556</v>
      </c>
      <c r="C8" s="329">
        <f>'8.Cash Flow '!D33</f>
        <v>2295090.2494704723</v>
      </c>
      <c r="D8" s="329">
        <f>'8.Cash Flow '!E33</f>
        <v>3474525.1935762465</v>
      </c>
      <c r="E8" s="329">
        <f>'8.Cash Flow '!F33</f>
        <v>4971282.2975849211</v>
      </c>
      <c r="F8" s="329">
        <f>'8.Cash Flow '!G33</f>
        <v>6723171.7914303839</v>
      </c>
      <c r="G8" s="329">
        <f>'8.Cash Flow '!H33</f>
        <v>8632173.0196352303</v>
      </c>
      <c r="H8" s="329">
        <f>'8.Cash Flow '!I33</f>
        <v>11642671.633176297</v>
      </c>
      <c r="I8" s="245"/>
      <c r="J8" s="245"/>
      <c r="K8" s="249"/>
      <c r="L8" s="249"/>
      <c r="M8" s="249"/>
      <c r="N8" s="249"/>
      <c r="O8" s="249"/>
      <c r="P8" s="249"/>
      <c r="Q8" s="249"/>
      <c r="R8" s="249"/>
    </row>
    <row r="9" spans="1:18" ht="15.75">
      <c r="A9" s="330" t="s">
        <v>371</v>
      </c>
      <c r="B9" s="331">
        <f>+'5.Closing Stock &amp; W Capital'!E38</f>
        <v>5774694.4162499998</v>
      </c>
      <c r="C9" s="331">
        <f>+'5.Closing Stock &amp; W Capital'!F38</f>
        <v>6592103.5913294172</v>
      </c>
      <c r="D9" s="331">
        <f>+'5.Closing Stock &amp; W Capital'!G38</f>
        <v>7330670.2207664391</v>
      </c>
      <c r="E9" s="331">
        <f>+'5.Closing Stock &amp; W Capital'!H38</f>
        <v>8092671.838521678</v>
      </c>
      <c r="F9" s="331">
        <f>+'5.Closing Stock &amp; W Capital'!I38</f>
        <v>8878108.4445951376</v>
      </c>
      <c r="G9" s="331">
        <f>+'5.Closing Stock &amp; W Capital'!J38</f>
        <v>9681555.3814525735</v>
      </c>
      <c r="H9" s="331">
        <f>+'5.Closing Stock &amp; W Capital'!K38</f>
        <v>10508240.046354253</v>
      </c>
      <c r="I9" s="245"/>
      <c r="J9" s="245"/>
      <c r="K9" s="249"/>
      <c r="L9" s="249"/>
      <c r="M9" s="249"/>
      <c r="N9" s="249"/>
      <c r="O9" s="249"/>
      <c r="P9" s="249"/>
      <c r="Q9" s="249"/>
      <c r="R9" s="249"/>
    </row>
    <row r="10" spans="1:18" ht="15.75">
      <c r="A10" s="330" t="s">
        <v>331</v>
      </c>
      <c r="B10" s="331">
        <f>+'5.Closing Stock &amp; W Capital'!E39</f>
        <v>3959543.3078878713</v>
      </c>
      <c r="C10" s="331">
        <f>+'5.Closing Stock &amp; W Capital'!F39</f>
        <v>4452574.3837715127</v>
      </c>
      <c r="D10" s="331">
        <f>+'5.Closing Stock &amp; W Capital'!G39</f>
        <v>4952382.912594595</v>
      </c>
      <c r="E10" s="331">
        <f>+'5.Closing Stock &amp; W Capital'!H39</f>
        <v>5468029.6146492297</v>
      </c>
      <c r="F10" s="331">
        <f>+'5.Closing Stock &amp; W Capital'!I39</f>
        <v>5999514.4899354167</v>
      </c>
      <c r="G10" s="331">
        <f>+'5.Closing Stock &amp; W Capital'!J39</f>
        <v>6546837.5384531543</v>
      </c>
      <c r="H10" s="331">
        <f>+'5.Closing Stock &amp; W Capital'!K39</f>
        <v>7109998.7602024432</v>
      </c>
      <c r="I10" s="245"/>
      <c r="J10" s="245"/>
      <c r="K10" s="249"/>
      <c r="L10" s="249"/>
      <c r="M10" s="249"/>
      <c r="N10" s="249"/>
      <c r="O10" s="249"/>
      <c r="P10" s="249"/>
      <c r="Q10" s="249"/>
      <c r="R10" s="249"/>
    </row>
    <row r="11" spans="1:18" ht="15.75">
      <c r="A11" s="327" t="s">
        <v>372</v>
      </c>
      <c r="B11" s="329">
        <f t="shared" ref="B11:H11" si="0">SUM(B8:B10)</f>
        <v>11383648.808790026</v>
      </c>
      <c r="C11" s="329">
        <f t="shared" si="0"/>
        <v>13339768.224571403</v>
      </c>
      <c r="D11" s="329">
        <f t="shared" si="0"/>
        <v>15757578.326937281</v>
      </c>
      <c r="E11" s="329">
        <f t="shared" si="0"/>
        <v>18531983.750755828</v>
      </c>
      <c r="F11" s="329">
        <f t="shared" si="0"/>
        <v>21600794.72596094</v>
      </c>
      <c r="G11" s="329">
        <f t="shared" si="0"/>
        <v>24860565.93954096</v>
      </c>
      <c r="H11" s="329">
        <f t="shared" si="0"/>
        <v>29260910.439732991</v>
      </c>
      <c r="I11" s="245"/>
      <c r="J11" s="245"/>
      <c r="K11" s="245"/>
      <c r="L11" s="245"/>
      <c r="M11" s="245"/>
      <c r="N11" s="245"/>
      <c r="O11" s="245"/>
      <c r="P11" s="245"/>
      <c r="Q11" s="245"/>
      <c r="R11" s="245"/>
    </row>
    <row r="12" spans="1:18" ht="15.75">
      <c r="A12" s="327"/>
      <c r="B12" s="331"/>
      <c r="C12" s="331"/>
      <c r="D12" s="331"/>
      <c r="E12" s="331"/>
      <c r="F12" s="331"/>
      <c r="G12" s="331"/>
      <c r="H12" s="331"/>
      <c r="I12" s="245"/>
      <c r="J12" s="249"/>
      <c r="K12" s="249"/>
      <c r="L12" s="249"/>
      <c r="M12" s="249"/>
      <c r="N12" s="249"/>
      <c r="O12" s="249"/>
      <c r="P12" s="249"/>
      <c r="Q12" s="249"/>
      <c r="R12" s="245"/>
    </row>
    <row r="13" spans="1:18" ht="15.75">
      <c r="A13" s="330" t="s">
        <v>373</v>
      </c>
      <c r="B13" s="331">
        <f>'3.Other Exp &amp; Taxes'!C61</f>
        <v>33557226</v>
      </c>
      <c r="C13" s="331">
        <f>'3.Other Exp &amp; Taxes'!D61</f>
        <v>33557226</v>
      </c>
      <c r="D13" s="331">
        <f>'3.Other Exp &amp; Taxes'!E61</f>
        <v>33557226</v>
      </c>
      <c r="E13" s="331">
        <f>'3.Other Exp &amp; Taxes'!F61</f>
        <v>33557226</v>
      </c>
      <c r="F13" s="331">
        <f>'3.Other Exp &amp; Taxes'!G61</f>
        <v>33557226</v>
      </c>
      <c r="G13" s="331">
        <f>'3.Other Exp &amp; Taxes'!H61</f>
        <v>33557226</v>
      </c>
      <c r="H13" s="331">
        <f>'3.Other Exp &amp; Taxes'!I61</f>
        <v>33557226</v>
      </c>
      <c r="I13" s="245"/>
      <c r="J13" s="245"/>
      <c r="K13" s="245"/>
      <c r="L13" s="245"/>
      <c r="M13" s="245"/>
      <c r="N13" s="245"/>
      <c r="O13" s="245"/>
      <c r="P13" s="245"/>
      <c r="Q13" s="245"/>
      <c r="R13" s="245"/>
    </row>
    <row r="14" spans="1:18" ht="15.75">
      <c r="A14" s="330" t="s">
        <v>374</v>
      </c>
      <c r="B14" s="331">
        <f>+'3.Other Exp &amp; Taxes'!C63</f>
        <v>1744584.676</v>
      </c>
      <c r="C14" s="331">
        <f>+'3.Other Exp &amp; Taxes'!D63</f>
        <v>3489169.352</v>
      </c>
      <c r="D14" s="331">
        <f>+'3.Other Exp &amp; Taxes'!E63</f>
        <v>5233754.0279999999</v>
      </c>
      <c r="E14" s="331">
        <f>+'3.Other Exp &amp; Taxes'!F63</f>
        <v>6978338.7039999999</v>
      </c>
      <c r="F14" s="331">
        <f>+'3.Other Exp &amp; Taxes'!G63</f>
        <v>8722923.379999999</v>
      </c>
      <c r="G14" s="331">
        <f>+'3.Other Exp &amp; Taxes'!H63</f>
        <v>10467508.056</v>
      </c>
      <c r="H14" s="331">
        <f>+'3.Other Exp &amp; Taxes'!I63</f>
        <v>12212092.732000001</v>
      </c>
      <c r="I14" s="245"/>
      <c r="J14" s="245"/>
      <c r="K14" s="249"/>
      <c r="L14" s="249"/>
      <c r="M14" s="249"/>
      <c r="N14" s="249"/>
      <c r="O14" s="249"/>
      <c r="P14" s="249"/>
      <c r="Q14" s="249"/>
      <c r="R14" s="245"/>
    </row>
    <row r="15" spans="1:18" ht="15.75">
      <c r="A15" s="327" t="s">
        <v>181</v>
      </c>
      <c r="B15" s="329">
        <f t="shared" ref="B15:H15" si="1">B13-B14</f>
        <v>31812641.324000001</v>
      </c>
      <c r="C15" s="329">
        <f t="shared" si="1"/>
        <v>30068056.648000002</v>
      </c>
      <c r="D15" s="329">
        <f t="shared" si="1"/>
        <v>28323471.971999999</v>
      </c>
      <c r="E15" s="329">
        <f t="shared" si="1"/>
        <v>26578887.296</v>
      </c>
      <c r="F15" s="329">
        <f t="shared" si="1"/>
        <v>24834302.620000001</v>
      </c>
      <c r="G15" s="329">
        <f t="shared" si="1"/>
        <v>23089717.943999998</v>
      </c>
      <c r="H15" s="329">
        <f t="shared" si="1"/>
        <v>21345133.267999999</v>
      </c>
      <c r="I15" s="248"/>
      <c r="J15" s="248"/>
      <c r="K15" s="248"/>
      <c r="L15" s="248"/>
      <c r="M15" s="248"/>
      <c r="N15" s="248"/>
      <c r="O15" s="248"/>
      <c r="P15" s="248"/>
      <c r="Q15" s="248"/>
      <c r="R15" s="248"/>
    </row>
    <row r="16" spans="1:18" ht="15.75">
      <c r="A16" s="327"/>
      <c r="B16" s="329"/>
      <c r="C16" s="329"/>
      <c r="D16" s="329"/>
      <c r="E16" s="329"/>
      <c r="F16" s="329"/>
      <c r="G16" s="329"/>
      <c r="H16" s="329"/>
      <c r="I16" s="248"/>
      <c r="J16" s="248"/>
      <c r="K16" s="248"/>
      <c r="L16" s="248"/>
      <c r="M16" s="248"/>
      <c r="N16" s="248"/>
      <c r="O16" s="248"/>
      <c r="P16" s="248"/>
      <c r="Q16" s="248"/>
      <c r="R16" s="248"/>
    </row>
    <row r="17" spans="1:18" ht="15.75">
      <c r="A17" s="332"/>
      <c r="B17" s="329"/>
      <c r="C17" s="329"/>
      <c r="D17" s="329"/>
      <c r="E17" s="329"/>
      <c r="F17" s="329"/>
      <c r="G17" s="329"/>
      <c r="H17" s="329"/>
      <c r="I17" s="248"/>
      <c r="J17" s="248"/>
      <c r="K17" s="248"/>
      <c r="L17" s="248"/>
      <c r="M17" s="248"/>
      <c r="N17" s="248"/>
      <c r="O17" s="248"/>
      <c r="P17" s="248"/>
      <c r="Q17" s="248"/>
      <c r="R17" s="248"/>
    </row>
    <row r="18" spans="1:18" ht="15.75">
      <c r="A18" s="327" t="s">
        <v>375</v>
      </c>
      <c r="B18" s="329">
        <f>'8.Cash Flow '!C20-'6.Cons Profit &amp; Loss'!B33</f>
        <v>400000</v>
      </c>
      <c r="C18" s="329">
        <f>B18-'6.Cons Profit &amp; Loss'!C33</f>
        <v>300000</v>
      </c>
      <c r="D18" s="329">
        <f>C18-'6.Cons Profit &amp; Loss'!D33</f>
        <v>200000</v>
      </c>
      <c r="E18" s="329">
        <f>D18-'6.Cons Profit &amp; Loss'!E33</f>
        <v>100000</v>
      </c>
      <c r="F18" s="329">
        <f>E18-'6.Cons Profit &amp; Loss'!F33</f>
        <v>0</v>
      </c>
      <c r="G18" s="329">
        <f>F18-'6.Cons Profit &amp; Loss'!G33</f>
        <v>0</v>
      </c>
      <c r="H18" s="329">
        <f>G18-'6.Cons Profit &amp; Loss'!H33</f>
        <v>0</v>
      </c>
      <c r="I18" s="248"/>
      <c r="J18" s="248"/>
      <c r="K18" s="248"/>
      <c r="L18" s="248"/>
      <c r="M18" s="248"/>
      <c r="N18" s="248"/>
      <c r="O18" s="248"/>
      <c r="P18" s="248"/>
      <c r="Q18" s="248"/>
      <c r="R18" s="248"/>
    </row>
    <row r="19" spans="1:18" ht="15.75">
      <c r="A19" s="330"/>
      <c r="B19" s="331"/>
      <c r="C19" s="331"/>
      <c r="D19" s="331"/>
      <c r="E19" s="331"/>
      <c r="F19" s="331"/>
      <c r="G19" s="331"/>
      <c r="H19" s="331"/>
      <c r="I19" s="245"/>
      <c r="J19" s="245"/>
      <c r="K19" s="245"/>
      <c r="L19" s="245"/>
      <c r="M19" s="245"/>
      <c r="N19" s="245"/>
      <c r="O19" s="245"/>
      <c r="P19" s="245"/>
      <c r="Q19" s="245"/>
      <c r="R19" s="245"/>
    </row>
    <row r="20" spans="1:18" ht="15.75">
      <c r="A20" s="332" t="s">
        <v>376</v>
      </c>
      <c r="B20" s="329">
        <f t="shared" ref="B20:H20" si="2">B11+B15+B17+B18</f>
        <v>43596290.132790029</v>
      </c>
      <c r="C20" s="329">
        <f t="shared" si="2"/>
        <v>43707824.872571409</v>
      </c>
      <c r="D20" s="329">
        <f t="shared" si="2"/>
        <v>44281050.298937276</v>
      </c>
      <c r="E20" s="329">
        <f t="shared" si="2"/>
        <v>45210871.046755828</v>
      </c>
      <c r="F20" s="329">
        <f t="shared" si="2"/>
        <v>46435097.345960945</v>
      </c>
      <c r="G20" s="329">
        <f t="shared" si="2"/>
        <v>47950283.883540958</v>
      </c>
      <c r="H20" s="329">
        <f t="shared" si="2"/>
        <v>50606043.70773299</v>
      </c>
      <c r="I20" s="245"/>
      <c r="J20" s="245"/>
      <c r="K20" s="245"/>
      <c r="L20" s="245"/>
      <c r="M20" s="245"/>
      <c r="N20" s="245"/>
      <c r="O20" s="245"/>
      <c r="P20" s="245"/>
      <c r="Q20" s="245"/>
      <c r="R20" s="245"/>
    </row>
    <row r="21" spans="1:18" ht="15.75" customHeight="1">
      <c r="A21" s="322"/>
      <c r="B21" s="331"/>
      <c r="C21" s="331"/>
      <c r="D21" s="331"/>
      <c r="E21" s="331"/>
      <c r="F21" s="331"/>
      <c r="G21" s="331"/>
      <c r="H21" s="331"/>
      <c r="I21" s="245"/>
      <c r="J21" s="245"/>
      <c r="K21" s="245"/>
      <c r="L21" s="245"/>
      <c r="M21" s="245"/>
      <c r="N21" s="245"/>
      <c r="O21" s="245"/>
      <c r="P21" s="245"/>
      <c r="Q21" s="245"/>
      <c r="R21" s="245"/>
    </row>
    <row r="22" spans="1:18" ht="15.75" customHeight="1">
      <c r="A22" s="325" t="s">
        <v>377</v>
      </c>
      <c r="B22" s="333"/>
      <c r="C22" s="333"/>
      <c r="D22" s="333"/>
      <c r="E22" s="333"/>
      <c r="F22" s="333"/>
      <c r="G22" s="333"/>
      <c r="H22" s="333"/>
      <c r="I22" s="245"/>
      <c r="J22" s="245"/>
      <c r="K22" s="245"/>
      <c r="L22" s="245"/>
      <c r="M22" s="245"/>
      <c r="N22" s="245"/>
      <c r="O22" s="245"/>
      <c r="P22" s="245"/>
      <c r="Q22" s="245"/>
      <c r="R22" s="245"/>
    </row>
    <row r="23" spans="1:18" ht="15.75" customHeight="1">
      <c r="A23" s="327" t="s">
        <v>378</v>
      </c>
      <c r="B23" s="333"/>
      <c r="C23" s="333"/>
      <c r="D23" s="333"/>
      <c r="E23" s="333"/>
      <c r="F23" s="333"/>
      <c r="G23" s="333"/>
      <c r="H23" s="333"/>
      <c r="I23" s="245"/>
      <c r="J23" s="245"/>
      <c r="K23" s="245"/>
      <c r="L23" s="245"/>
      <c r="M23" s="245"/>
      <c r="N23" s="245"/>
      <c r="O23" s="245"/>
      <c r="P23" s="245"/>
      <c r="Q23" s="245"/>
      <c r="R23" s="245"/>
    </row>
    <row r="24" spans="1:18" ht="15.75" customHeight="1">
      <c r="A24" s="330" t="s">
        <v>379</v>
      </c>
      <c r="B24" s="329">
        <f>+'5.Closing Stock &amp; W Capital'!E51-'5.Closing Stock &amp; W Capital'!E52</f>
        <v>4399126.7032728586</v>
      </c>
      <c r="C24" s="329">
        <f>+B24</f>
        <v>4399126.7032728586</v>
      </c>
      <c r="D24" s="329">
        <f t="shared" ref="D24:H24" si="3">+C24</f>
        <v>4399126.7032728586</v>
      </c>
      <c r="E24" s="329">
        <f t="shared" si="3"/>
        <v>4399126.7032728586</v>
      </c>
      <c r="F24" s="329">
        <f t="shared" si="3"/>
        <v>4399126.7032728586</v>
      </c>
      <c r="G24" s="329">
        <f t="shared" si="3"/>
        <v>4399126.7032728586</v>
      </c>
      <c r="H24" s="329">
        <f t="shared" si="3"/>
        <v>4399126.7032728586</v>
      </c>
      <c r="I24" s="245"/>
      <c r="J24" s="245"/>
      <c r="K24" s="245"/>
      <c r="L24" s="245"/>
      <c r="M24" s="245"/>
      <c r="N24" s="245"/>
      <c r="O24" s="245"/>
      <c r="P24" s="245"/>
      <c r="Q24" s="245"/>
      <c r="R24" s="245"/>
    </row>
    <row r="25" spans="1:18" ht="15.75" customHeight="1">
      <c r="A25" s="330" t="s">
        <v>380</v>
      </c>
      <c r="B25" s="331">
        <f>+'5.Closing Stock &amp; W Capital'!E50</f>
        <v>3757588.7864407254</v>
      </c>
      <c r="C25" s="331">
        <f>+'5.Closing Stock &amp; W Capital'!F50</f>
        <v>4300000.989357926</v>
      </c>
      <c r="D25" s="331">
        <f>+'5.Closing Stock &amp; W Capital'!G50</f>
        <v>4782353.2678796938</v>
      </c>
      <c r="E25" s="331">
        <f>+'5.Closing Stock &amp; W Capital'!H50</f>
        <v>5279812.4883159278</v>
      </c>
      <c r="F25" s="331">
        <f>+'5.Closing Stock &amp; W Capital'!I50</f>
        <v>5792552.4179051043</v>
      </c>
      <c r="G25" s="331">
        <f>+'5.Closing Stock &amp; W Capital'!J50</f>
        <v>6320573.0566472225</v>
      </c>
      <c r="H25" s="331">
        <f>+'5.Closing Stock &amp; W Capital'!K50</f>
        <v>6863874.4045422841</v>
      </c>
      <c r="I25" s="245"/>
      <c r="J25" s="245"/>
      <c r="K25" s="245"/>
      <c r="L25" s="245"/>
      <c r="M25" s="245"/>
      <c r="N25" s="245"/>
      <c r="O25" s="245"/>
      <c r="P25" s="245"/>
      <c r="Q25" s="245"/>
      <c r="R25" s="245"/>
    </row>
    <row r="26" spans="1:18" ht="15.75" customHeight="1">
      <c r="A26" s="330" t="s">
        <v>381</v>
      </c>
      <c r="B26" s="329"/>
      <c r="C26" s="329"/>
      <c r="D26" s="329"/>
      <c r="E26" s="329"/>
      <c r="F26" s="329"/>
      <c r="G26" s="329"/>
      <c r="H26" s="329"/>
      <c r="I26" s="245"/>
      <c r="J26" s="245"/>
      <c r="K26" s="245"/>
      <c r="L26" s="245"/>
      <c r="M26" s="245"/>
      <c r="N26" s="245"/>
      <c r="O26" s="245"/>
      <c r="P26" s="245"/>
      <c r="Q26" s="245"/>
      <c r="R26" s="245"/>
    </row>
    <row r="27" spans="1:18" ht="15.75" customHeight="1">
      <c r="A27" s="327" t="s">
        <v>382</v>
      </c>
      <c r="B27" s="329">
        <f t="shared" ref="B27:H27" si="4">SUM(B24:B26)</f>
        <v>8156715.4897135841</v>
      </c>
      <c r="C27" s="329">
        <f t="shared" si="4"/>
        <v>8699127.6926307846</v>
      </c>
      <c r="D27" s="329">
        <f t="shared" si="4"/>
        <v>9181479.9711525515</v>
      </c>
      <c r="E27" s="329">
        <f t="shared" si="4"/>
        <v>9678939.1915887855</v>
      </c>
      <c r="F27" s="329">
        <f t="shared" si="4"/>
        <v>10191679.121177964</v>
      </c>
      <c r="G27" s="329">
        <f t="shared" si="4"/>
        <v>10719699.759920081</v>
      </c>
      <c r="H27" s="329">
        <f t="shared" si="4"/>
        <v>11263001.107815143</v>
      </c>
      <c r="I27" s="245"/>
      <c r="J27" s="245"/>
      <c r="K27" s="245"/>
      <c r="L27" s="245"/>
      <c r="M27" s="245"/>
      <c r="N27" s="245"/>
      <c r="O27" s="245"/>
      <c r="P27" s="245"/>
      <c r="Q27" s="245"/>
      <c r="R27" s="245"/>
    </row>
    <row r="28" spans="1:18" ht="15.75" customHeight="1">
      <c r="A28" s="327" t="s">
        <v>383</v>
      </c>
      <c r="B28" s="329">
        <f>'4.TL repayment sch'!G21</f>
        <v>7072738.7384215109</v>
      </c>
      <c r="C28" s="329">
        <f>'4.TL repayment sch'!G33</f>
        <v>6130705.9685781701</v>
      </c>
      <c r="D28" s="329">
        <f>'4.TL repayment sch'!G45</f>
        <v>5058642.0777517576</v>
      </c>
      <c r="E28" s="329">
        <f>'4.TL repayment sch'!G57</f>
        <v>3838598.5476259468</v>
      </c>
      <c r="F28" s="329">
        <f>'4.TL repayment sch'!G69</f>
        <v>2450149.3813599125</v>
      </c>
      <c r="G28" s="329">
        <f>'4.TL repayment sch'!G81</f>
        <v>870049.13107945735</v>
      </c>
      <c r="H28" s="329">
        <f>'[1]Term Loan'!J72+'[1]Term Loan'!S72</f>
        <v>0</v>
      </c>
      <c r="I28" s="245"/>
      <c r="J28" s="245"/>
      <c r="K28" s="245"/>
      <c r="L28" s="245"/>
      <c r="M28" s="245"/>
      <c r="N28" s="245"/>
      <c r="O28" s="245"/>
      <c r="P28" s="245"/>
      <c r="Q28" s="245"/>
      <c r="R28" s="245"/>
    </row>
    <row r="29" spans="1:18" ht="15.75" customHeight="1">
      <c r="A29" s="327" t="s">
        <v>384</v>
      </c>
      <c r="B29" s="329"/>
      <c r="C29" s="329"/>
      <c r="D29" s="329"/>
      <c r="E29" s="329"/>
      <c r="F29" s="329"/>
      <c r="G29" s="329"/>
      <c r="H29" s="329"/>
      <c r="I29" s="245"/>
      <c r="J29" s="245"/>
      <c r="K29" s="245"/>
      <c r="L29" s="245"/>
      <c r="M29" s="245"/>
      <c r="N29" s="245"/>
      <c r="O29" s="245"/>
      <c r="P29" s="245"/>
      <c r="Q29" s="245"/>
      <c r="R29" s="245"/>
    </row>
    <row r="30" spans="1:18" ht="15.75" customHeight="1">
      <c r="A30" s="327"/>
      <c r="B30" s="334"/>
      <c r="C30" s="334"/>
      <c r="D30" s="334"/>
      <c r="E30" s="334"/>
      <c r="F30" s="334"/>
      <c r="G30" s="334"/>
      <c r="H30" s="334"/>
      <c r="I30" s="245"/>
      <c r="J30" s="245"/>
      <c r="K30" s="245"/>
      <c r="L30" s="245"/>
      <c r="M30" s="245"/>
      <c r="N30" s="245"/>
      <c r="O30" s="245"/>
      <c r="P30" s="245"/>
      <c r="Q30" s="245"/>
      <c r="R30" s="245"/>
    </row>
    <row r="31" spans="1:18" ht="15.75" customHeight="1">
      <c r="A31" s="332" t="s">
        <v>385</v>
      </c>
      <c r="B31" s="329">
        <f t="shared" ref="B31:H31" si="5">SUM(B27:B29)</f>
        <v>15229454.228135094</v>
      </c>
      <c r="C31" s="329">
        <f t="shared" si="5"/>
        <v>14829833.661208954</v>
      </c>
      <c r="D31" s="329">
        <f t="shared" si="5"/>
        <v>14240122.048904309</v>
      </c>
      <c r="E31" s="329">
        <f t="shared" si="5"/>
        <v>13517537.739214733</v>
      </c>
      <c r="F31" s="329">
        <f t="shared" si="5"/>
        <v>12641828.502537876</v>
      </c>
      <c r="G31" s="329">
        <f t="shared" si="5"/>
        <v>11589748.890999539</v>
      </c>
      <c r="H31" s="329">
        <f t="shared" si="5"/>
        <v>11263001.107815143</v>
      </c>
      <c r="I31" s="245"/>
      <c r="J31" s="245"/>
      <c r="K31" s="245"/>
      <c r="L31" s="245"/>
      <c r="M31" s="245"/>
      <c r="N31" s="245"/>
      <c r="O31" s="245"/>
      <c r="P31" s="245"/>
      <c r="Q31" s="245"/>
      <c r="R31" s="245"/>
    </row>
    <row r="32" spans="1:18" ht="15.75" customHeight="1">
      <c r="A32" s="322"/>
      <c r="B32" s="331"/>
      <c r="C32" s="331"/>
      <c r="D32" s="331"/>
      <c r="E32" s="331"/>
      <c r="F32" s="331"/>
      <c r="G32" s="331"/>
      <c r="H32" s="331"/>
      <c r="I32" s="245"/>
      <c r="J32" s="245"/>
      <c r="K32" s="245"/>
      <c r="L32" s="245"/>
      <c r="M32" s="245"/>
      <c r="N32" s="245"/>
      <c r="O32" s="245"/>
      <c r="P32" s="245"/>
      <c r="Q32" s="245"/>
      <c r="R32" s="245"/>
    </row>
    <row r="33" spans="1:18" ht="15.75" customHeight="1">
      <c r="A33" s="330" t="s">
        <v>386</v>
      </c>
      <c r="B33" s="331">
        <f>'1.Project Cost and MOF'!E21</f>
        <v>8134748.5875394279</v>
      </c>
      <c r="C33" s="331">
        <f t="shared" ref="C33:H33" si="6">B33</f>
        <v>8134748.5875394279</v>
      </c>
      <c r="D33" s="331">
        <f t="shared" si="6"/>
        <v>8134748.5875394279</v>
      </c>
      <c r="E33" s="331">
        <f t="shared" si="6"/>
        <v>8134748.5875394279</v>
      </c>
      <c r="F33" s="331">
        <f t="shared" si="6"/>
        <v>8134748.5875394279</v>
      </c>
      <c r="G33" s="331">
        <f t="shared" si="6"/>
        <v>8134748.5875394279</v>
      </c>
      <c r="H33" s="331">
        <f t="shared" si="6"/>
        <v>8134748.5875394279</v>
      </c>
      <c r="I33" s="245"/>
      <c r="J33" s="245"/>
      <c r="K33" s="245"/>
      <c r="L33" s="245"/>
      <c r="M33" s="245"/>
      <c r="N33" s="245"/>
      <c r="O33" s="245"/>
      <c r="P33" s="245"/>
      <c r="Q33" s="245"/>
      <c r="R33" s="245"/>
    </row>
    <row r="34" spans="1:18" ht="15.75" customHeight="1">
      <c r="A34" s="330" t="s">
        <v>387</v>
      </c>
      <c r="B34" s="331">
        <f>'1.Project Cost and MOF'!E19</f>
        <v>20000000</v>
      </c>
      <c r="C34" s="331">
        <f t="shared" ref="C34:H34" si="7">B34</f>
        <v>20000000</v>
      </c>
      <c r="D34" s="331">
        <f t="shared" si="7"/>
        <v>20000000</v>
      </c>
      <c r="E34" s="331">
        <f t="shared" si="7"/>
        <v>20000000</v>
      </c>
      <c r="F34" s="331">
        <f t="shared" si="7"/>
        <v>20000000</v>
      </c>
      <c r="G34" s="331">
        <f t="shared" si="7"/>
        <v>20000000</v>
      </c>
      <c r="H34" s="331">
        <f t="shared" si="7"/>
        <v>20000000</v>
      </c>
      <c r="I34" s="245"/>
      <c r="J34" s="245"/>
      <c r="K34" s="245"/>
      <c r="L34" s="245"/>
      <c r="M34" s="245"/>
      <c r="N34" s="245"/>
      <c r="O34" s="245"/>
      <c r="P34" s="245"/>
      <c r="Q34" s="245"/>
      <c r="R34" s="245"/>
    </row>
    <row r="35" spans="1:18" ht="15.75" customHeight="1">
      <c r="A35" s="327" t="s">
        <v>388</v>
      </c>
      <c r="B35" s="331"/>
      <c r="C35" s="331"/>
      <c r="D35" s="331"/>
      <c r="E35" s="331"/>
      <c r="F35" s="331"/>
      <c r="G35" s="331"/>
      <c r="H35" s="331"/>
      <c r="I35" s="245"/>
      <c r="J35" s="245"/>
      <c r="K35" s="245"/>
      <c r="L35" s="245"/>
      <c r="M35" s="245"/>
      <c r="N35" s="245"/>
      <c r="O35" s="245"/>
      <c r="P35" s="245"/>
      <c r="Q35" s="245"/>
      <c r="R35" s="245"/>
    </row>
    <row r="36" spans="1:18" ht="15.75" customHeight="1">
      <c r="A36" s="330" t="s">
        <v>389</v>
      </c>
      <c r="B36" s="331">
        <v>0</v>
      </c>
      <c r="C36" s="331">
        <f t="shared" ref="C36:H36" si="8">B39</f>
        <v>232087.31711550051</v>
      </c>
      <c r="D36" s="331">
        <f t="shared" si="8"/>
        <v>743242.6238230248</v>
      </c>
      <c r="E36" s="331">
        <f t="shared" si="8"/>
        <v>1906179.6624935358</v>
      </c>
      <c r="F36" s="331">
        <f t="shared" si="8"/>
        <v>3558584.7200016463</v>
      </c>
      <c r="G36" s="331">
        <f t="shared" si="8"/>
        <v>5658520.2558836304</v>
      </c>
      <c r="H36" s="331">
        <f t="shared" si="8"/>
        <v>8225786.4050020184</v>
      </c>
      <c r="I36" s="245"/>
      <c r="J36" s="245"/>
      <c r="K36" s="245"/>
      <c r="L36" s="245"/>
      <c r="M36" s="245"/>
      <c r="N36" s="245"/>
      <c r="O36" s="245"/>
      <c r="P36" s="245"/>
      <c r="Q36" s="245"/>
      <c r="R36" s="245"/>
    </row>
    <row r="37" spans="1:18" ht="15.75" customHeight="1">
      <c r="A37" s="330" t="s">
        <v>390</v>
      </c>
      <c r="B37" s="331">
        <f>'6.Cons Profit &amp; Loss'!B43</f>
        <v>232087.31711550051</v>
      </c>
      <c r="C37" s="331">
        <f>'6.Cons Profit &amp; Loss'!C41</f>
        <v>511155.30670752423</v>
      </c>
      <c r="D37" s="331">
        <f>'6.Cons Profit &amp; Loss'!D41</f>
        <v>1162937.038670511</v>
      </c>
      <c r="E37" s="331">
        <f>'6.Cons Profit &amp; Loss'!E41</f>
        <v>1652405.0575081103</v>
      </c>
      <c r="F37" s="331">
        <f>'6.Cons Profit &amp; Loss'!F41</f>
        <v>2099935.5358819845</v>
      </c>
      <c r="G37" s="331">
        <f>'6.Cons Profit &amp; Loss'!G41</f>
        <v>2567266.1491183876</v>
      </c>
      <c r="H37" s="331">
        <f>'6.Cons Profit &amp; Loss'!H41</f>
        <v>2982507.6073764125</v>
      </c>
      <c r="I37" s="245"/>
      <c r="J37" s="245"/>
      <c r="K37" s="245"/>
      <c r="L37" s="245"/>
      <c r="M37" s="245"/>
      <c r="N37" s="245"/>
      <c r="O37" s="245"/>
      <c r="P37" s="245"/>
      <c r="Q37" s="245"/>
      <c r="R37" s="245"/>
    </row>
    <row r="38" spans="1:18" ht="15.75" customHeight="1">
      <c r="A38" s="330" t="s">
        <v>391</v>
      </c>
      <c r="B38" s="331"/>
      <c r="C38" s="331"/>
      <c r="D38" s="331"/>
      <c r="E38" s="331"/>
      <c r="F38" s="331"/>
      <c r="G38" s="331"/>
      <c r="H38" s="331"/>
      <c r="I38" s="245"/>
      <c r="J38" s="245"/>
      <c r="K38" s="245"/>
      <c r="L38" s="245"/>
      <c r="M38" s="245"/>
      <c r="N38" s="245"/>
      <c r="O38" s="245"/>
      <c r="P38" s="245"/>
      <c r="Q38" s="245"/>
      <c r="R38" s="245"/>
    </row>
    <row r="39" spans="1:18" ht="15.75" customHeight="1">
      <c r="A39" s="330" t="s">
        <v>392</v>
      </c>
      <c r="B39" s="331">
        <f t="shared" ref="B39:H39" si="9">B36+B37-B38</f>
        <v>232087.31711550051</v>
      </c>
      <c r="C39" s="331">
        <f t="shared" si="9"/>
        <v>743242.6238230248</v>
      </c>
      <c r="D39" s="331">
        <f t="shared" si="9"/>
        <v>1906179.6624935358</v>
      </c>
      <c r="E39" s="331">
        <f t="shared" si="9"/>
        <v>3558584.7200016463</v>
      </c>
      <c r="F39" s="331">
        <f t="shared" si="9"/>
        <v>5658520.2558836304</v>
      </c>
      <c r="G39" s="331">
        <f t="shared" si="9"/>
        <v>8225786.4050020184</v>
      </c>
      <c r="H39" s="331">
        <f t="shared" si="9"/>
        <v>11208294.012378432</v>
      </c>
      <c r="I39" s="245"/>
      <c r="J39" s="245"/>
      <c r="K39" s="245"/>
      <c r="L39" s="245"/>
      <c r="M39" s="245"/>
      <c r="N39" s="245"/>
      <c r="O39" s="245"/>
      <c r="P39" s="245"/>
      <c r="Q39" s="245"/>
      <c r="R39" s="245"/>
    </row>
    <row r="40" spans="1:18" ht="15.75" customHeight="1">
      <c r="A40" s="330"/>
      <c r="B40" s="333"/>
      <c r="C40" s="333"/>
      <c r="D40" s="333"/>
      <c r="E40" s="333"/>
      <c r="F40" s="333"/>
      <c r="G40" s="333"/>
      <c r="H40" s="333"/>
      <c r="I40" s="245"/>
      <c r="J40" s="245"/>
      <c r="K40" s="245"/>
      <c r="L40" s="245"/>
      <c r="M40" s="245"/>
      <c r="N40" s="245"/>
      <c r="O40" s="245"/>
      <c r="P40" s="245"/>
      <c r="Q40" s="245"/>
      <c r="R40" s="245"/>
    </row>
    <row r="41" spans="1:18" ht="15.75" customHeight="1">
      <c r="A41" s="335" t="s">
        <v>393</v>
      </c>
      <c r="B41" s="336">
        <f t="shared" ref="B41:H41" si="10">B33+B39+B34</f>
        <v>28366835.904654928</v>
      </c>
      <c r="C41" s="336">
        <f t="shared" si="10"/>
        <v>28877991.211362451</v>
      </c>
      <c r="D41" s="336">
        <f t="shared" si="10"/>
        <v>30040928.250032961</v>
      </c>
      <c r="E41" s="336">
        <f t="shared" si="10"/>
        <v>31693333.307541072</v>
      </c>
      <c r="F41" s="336">
        <f t="shared" si="10"/>
        <v>33793268.843423054</v>
      </c>
      <c r="G41" s="336">
        <f t="shared" si="10"/>
        <v>36360534.992541447</v>
      </c>
      <c r="H41" s="336">
        <f t="shared" si="10"/>
        <v>39343042.599917859</v>
      </c>
      <c r="I41" s="245"/>
      <c r="J41" s="245"/>
      <c r="K41" s="245"/>
      <c r="L41" s="245"/>
      <c r="M41" s="245"/>
      <c r="N41" s="245"/>
      <c r="O41" s="245"/>
      <c r="P41" s="245"/>
      <c r="Q41" s="245"/>
      <c r="R41" s="245"/>
    </row>
    <row r="42" spans="1:18" ht="15.75" customHeight="1">
      <c r="A42" s="322"/>
      <c r="B42" s="331"/>
      <c r="C42" s="331"/>
      <c r="D42" s="331"/>
      <c r="E42" s="331"/>
      <c r="F42" s="331"/>
      <c r="G42" s="331"/>
      <c r="H42" s="331"/>
      <c r="I42" s="245"/>
      <c r="J42" s="245"/>
      <c r="K42" s="245"/>
      <c r="L42" s="245"/>
      <c r="M42" s="245"/>
      <c r="N42" s="245"/>
      <c r="O42" s="245"/>
      <c r="P42" s="245"/>
      <c r="Q42" s="245"/>
      <c r="R42" s="245"/>
    </row>
    <row r="43" spans="1:18" ht="15.75" customHeight="1">
      <c r="A43" s="332" t="s">
        <v>394</v>
      </c>
      <c r="B43" s="329">
        <f t="shared" ref="B43:H43" si="11">B31+B41</f>
        <v>43596290.132790022</v>
      </c>
      <c r="C43" s="329">
        <f t="shared" si="11"/>
        <v>43707824.872571409</v>
      </c>
      <c r="D43" s="329">
        <f t="shared" si="11"/>
        <v>44281050.298937269</v>
      </c>
      <c r="E43" s="329">
        <f t="shared" si="11"/>
        <v>45210871.046755806</v>
      </c>
      <c r="F43" s="329">
        <f t="shared" si="11"/>
        <v>46435097.34596093</v>
      </c>
      <c r="G43" s="329">
        <f t="shared" si="11"/>
        <v>47950283.883540988</v>
      </c>
      <c r="H43" s="329">
        <f t="shared" si="11"/>
        <v>50606043.707733005</v>
      </c>
      <c r="I43" s="245"/>
      <c r="J43" s="245"/>
      <c r="K43" s="245"/>
      <c r="L43" s="245"/>
      <c r="M43" s="245"/>
      <c r="N43" s="245"/>
      <c r="O43" s="245"/>
      <c r="P43" s="245"/>
      <c r="Q43" s="245"/>
      <c r="R43" s="245"/>
    </row>
    <row r="44" spans="1:18" ht="15.75" hidden="1" customHeight="1">
      <c r="A44" s="337" t="s">
        <v>395</v>
      </c>
      <c r="B44" s="338"/>
      <c r="C44" s="338"/>
      <c r="D44" s="338"/>
      <c r="E44" s="338"/>
      <c r="F44" s="338"/>
      <c r="G44" s="338"/>
      <c r="H44" s="338"/>
      <c r="I44" s="245"/>
      <c r="J44" s="245"/>
      <c r="K44" s="245"/>
      <c r="L44" s="245"/>
      <c r="M44" s="245"/>
      <c r="N44" s="245"/>
      <c r="O44" s="245"/>
      <c r="P44" s="245"/>
      <c r="Q44" s="245"/>
      <c r="R44" s="245"/>
    </row>
    <row r="45" spans="1:18" ht="15.75" hidden="1" customHeight="1">
      <c r="A45" s="339" t="s">
        <v>396</v>
      </c>
      <c r="B45" s="340">
        <f t="shared" ref="B45:H45" si="12">B43-B20</f>
        <v>0</v>
      </c>
      <c r="C45" s="340">
        <f t="shared" si="12"/>
        <v>0</v>
      </c>
      <c r="D45" s="340">
        <f t="shared" si="12"/>
        <v>0</v>
      </c>
      <c r="E45" s="340">
        <f t="shared" si="12"/>
        <v>0</v>
      </c>
      <c r="F45" s="340">
        <f t="shared" si="12"/>
        <v>0</v>
      </c>
      <c r="G45" s="340">
        <f t="shared" si="12"/>
        <v>0</v>
      </c>
      <c r="H45" s="340">
        <f t="shared" si="12"/>
        <v>0</v>
      </c>
      <c r="I45" s="245"/>
      <c r="J45" s="245"/>
      <c r="K45" s="245"/>
      <c r="L45" s="245"/>
      <c r="M45" s="245"/>
      <c r="N45" s="245"/>
      <c r="O45" s="245"/>
      <c r="P45" s="245"/>
      <c r="Q45" s="245"/>
      <c r="R45" s="245"/>
    </row>
    <row r="46" spans="1:18" ht="15.75" customHeight="1">
      <c r="A46" s="339"/>
      <c r="B46" s="340"/>
      <c r="C46" s="340"/>
      <c r="D46" s="340"/>
      <c r="E46" s="340"/>
      <c r="F46" s="340"/>
      <c r="G46" s="340"/>
      <c r="H46" s="340"/>
      <c r="I46" s="245"/>
      <c r="J46" s="245"/>
      <c r="K46" s="245"/>
      <c r="L46" s="245"/>
      <c r="M46" s="245"/>
      <c r="N46" s="245"/>
      <c r="O46" s="245"/>
      <c r="P46" s="245"/>
      <c r="Q46" s="245"/>
      <c r="R46" s="245"/>
    </row>
    <row r="47" spans="1:18" ht="15.75" customHeight="1">
      <c r="A47" s="341"/>
      <c r="B47" s="342"/>
      <c r="C47" s="342"/>
      <c r="D47" s="342"/>
      <c r="E47" s="342"/>
      <c r="F47" s="342"/>
      <c r="G47" s="342"/>
      <c r="H47" s="342"/>
      <c r="I47" s="245"/>
      <c r="J47" s="245"/>
      <c r="K47" s="245"/>
      <c r="L47" s="245"/>
      <c r="M47" s="245"/>
      <c r="N47" s="245"/>
      <c r="O47" s="245"/>
      <c r="P47" s="245"/>
      <c r="Q47" s="245"/>
      <c r="R47" s="245"/>
    </row>
    <row r="48" spans="1:18" ht="15.75" customHeight="1">
      <c r="A48" s="318"/>
      <c r="B48" s="343"/>
      <c r="C48" s="343"/>
      <c r="D48" s="343"/>
      <c r="E48" s="343"/>
      <c r="F48" s="343"/>
      <c r="G48" s="343"/>
      <c r="H48" s="343"/>
      <c r="I48" s="245"/>
      <c r="J48" s="245"/>
      <c r="K48" s="245"/>
      <c r="L48" s="245"/>
      <c r="M48" s="245"/>
      <c r="N48" s="245"/>
      <c r="O48" s="245"/>
      <c r="P48" s="245"/>
      <c r="Q48" s="245"/>
      <c r="R48" s="245"/>
    </row>
    <row r="49" spans="1:18" ht="48" customHeight="1">
      <c r="A49" s="344" t="s">
        <v>397</v>
      </c>
      <c r="B49" s="344"/>
      <c r="C49" s="344"/>
      <c r="D49" s="344"/>
      <c r="E49" s="344"/>
      <c r="F49" s="344"/>
      <c r="G49" s="344"/>
      <c r="H49" s="344"/>
      <c r="J49" s="245"/>
      <c r="K49" s="245"/>
      <c r="L49" s="245"/>
      <c r="M49" s="245"/>
      <c r="N49" s="245"/>
      <c r="O49" s="245"/>
      <c r="P49" s="245"/>
      <c r="Q49" s="245"/>
      <c r="R49" s="245"/>
    </row>
    <row r="50" spans="1:18" ht="15.75" customHeight="1">
      <c r="A50" s="245"/>
      <c r="B50" s="245"/>
      <c r="C50" s="245"/>
      <c r="D50" s="245"/>
      <c r="E50" s="245"/>
      <c r="F50" s="245"/>
      <c r="G50" s="245"/>
      <c r="H50" s="245"/>
      <c r="I50" s="245"/>
      <c r="J50" s="245"/>
      <c r="K50" s="245"/>
      <c r="L50" s="245"/>
      <c r="M50" s="245"/>
      <c r="N50" s="245"/>
      <c r="O50" s="245"/>
      <c r="P50" s="245"/>
      <c r="Q50" s="245"/>
      <c r="R50" s="245"/>
    </row>
    <row r="51" spans="1:18" ht="15.75" customHeight="1">
      <c r="A51" s="245"/>
      <c r="B51" s="245"/>
      <c r="C51" s="245"/>
      <c r="D51" s="245"/>
      <c r="E51" s="245"/>
      <c r="F51" s="245"/>
      <c r="G51" s="245"/>
      <c r="H51" s="245"/>
      <c r="I51" s="245"/>
      <c r="J51" s="245"/>
      <c r="K51" s="245"/>
      <c r="L51" s="245"/>
      <c r="M51" s="245"/>
      <c r="N51" s="245"/>
      <c r="O51" s="245"/>
      <c r="P51" s="245"/>
      <c r="Q51" s="245"/>
      <c r="R51" s="245"/>
    </row>
    <row r="52" spans="1:18" ht="15.75" customHeight="1">
      <c r="A52" s="245"/>
      <c r="B52" s="245"/>
      <c r="C52" s="245"/>
      <c r="D52" s="245"/>
      <c r="E52" s="245"/>
      <c r="F52" s="245"/>
      <c r="G52" s="245"/>
      <c r="H52" s="245"/>
      <c r="I52" s="245"/>
      <c r="J52" s="245"/>
      <c r="K52" s="245"/>
      <c r="L52" s="245"/>
      <c r="M52" s="245"/>
      <c r="N52" s="245"/>
      <c r="O52" s="245"/>
      <c r="P52" s="245"/>
      <c r="Q52" s="245"/>
      <c r="R52" s="245"/>
    </row>
    <row r="53" spans="1:18" ht="15.75" customHeight="1">
      <c r="A53" s="245"/>
      <c r="B53" s="245"/>
      <c r="C53" s="245"/>
      <c r="D53" s="245"/>
      <c r="E53" s="245"/>
      <c r="F53" s="245"/>
      <c r="G53" s="245"/>
      <c r="H53" s="245"/>
      <c r="I53" s="245"/>
      <c r="J53" s="245"/>
      <c r="K53" s="245"/>
      <c r="L53" s="245"/>
      <c r="M53" s="245"/>
      <c r="N53" s="245"/>
      <c r="O53" s="245"/>
      <c r="P53" s="245"/>
      <c r="Q53" s="245"/>
      <c r="R53" s="245"/>
    </row>
    <row r="54" spans="1:18" ht="15.75" customHeight="1">
      <c r="A54" s="245"/>
      <c r="B54" s="245"/>
      <c r="C54" s="245"/>
      <c r="D54" s="245"/>
      <c r="E54" s="245"/>
      <c r="F54" s="245"/>
      <c r="G54" s="245"/>
      <c r="H54" s="245"/>
      <c r="I54" s="245"/>
      <c r="J54" s="245"/>
      <c r="K54" s="245"/>
      <c r="L54" s="245"/>
      <c r="M54" s="245"/>
      <c r="N54" s="245"/>
      <c r="O54" s="245"/>
      <c r="P54" s="245"/>
      <c r="Q54" s="245"/>
      <c r="R54" s="245"/>
    </row>
    <row r="55" spans="1:18" ht="15.75" customHeight="1">
      <c r="A55" s="245"/>
      <c r="B55" s="245"/>
      <c r="C55" s="245"/>
      <c r="D55" s="245"/>
      <c r="E55" s="245"/>
      <c r="F55" s="245"/>
      <c r="G55" s="245"/>
      <c r="H55" s="245"/>
      <c r="I55" s="245"/>
      <c r="J55" s="245"/>
      <c r="K55" s="245"/>
      <c r="L55" s="245"/>
      <c r="M55" s="245"/>
      <c r="N55" s="245"/>
      <c r="O55" s="245"/>
      <c r="P55" s="245"/>
      <c r="Q55" s="245"/>
      <c r="R55" s="245"/>
    </row>
    <row r="56" spans="1:18" ht="15.75" customHeight="1">
      <c r="A56" s="245"/>
      <c r="B56" s="245"/>
      <c r="C56" s="245"/>
      <c r="D56" s="245"/>
      <c r="E56" s="245"/>
      <c r="F56" s="245"/>
      <c r="G56" s="245"/>
      <c r="H56" s="245"/>
      <c r="I56" s="245"/>
      <c r="J56" s="245"/>
      <c r="K56" s="245"/>
      <c r="L56" s="245"/>
      <c r="M56" s="245"/>
      <c r="N56" s="245"/>
      <c r="O56" s="245"/>
      <c r="P56" s="245"/>
      <c r="Q56" s="245"/>
      <c r="R56" s="245"/>
    </row>
    <row r="57" spans="1:18" ht="15.75" customHeight="1">
      <c r="A57" s="245"/>
      <c r="B57" s="245"/>
      <c r="C57" s="245"/>
      <c r="D57" s="245"/>
      <c r="E57" s="245"/>
      <c r="F57" s="245"/>
      <c r="G57" s="245"/>
      <c r="H57" s="245"/>
      <c r="I57" s="245"/>
      <c r="J57" s="245"/>
      <c r="K57" s="245"/>
      <c r="L57" s="245"/>
      <c r="M57" s="245"/>
      <c r="N57" s="245"/>
      <c r="O57" s="245"/>
      <c r="P57" s="245"/>
      <c r="Q57" s="245"/>
      <c r="R57" s="245"/>
    </row>
    <row r="58" spans="1:18" ht="15.75" customHeight="1">
      <c r="A58" s="245"/>
      <c r="B58" s="245"/>
      <c r="C58" s="245"/>
      <c r="D58" s="245"/>
      <c r="E58" s="245"/>
      <c r="F58" s="245"/>
      <c r="G58" s="245"/>
      <c r="H58" s="245"/>
      <c r="I58" s="245"/>
      <c r="J58" s="245"/>
      <c r="K58" s="245"/>
      <c r="L58" s="245"/>
      <c r="M58" s="245"/>
      <c r="N58" s="245"/>
      <c r="O58" s="245"/>
      <c r="P58" s="245"/>
      <c r="Q58" s="245"/>
      <c r="R58" s="245"/>
    </row>
    <row r="59" spans="1:18" ht="15.75" customHeight="1">
      <c r="A59" s="245"/>
      <c r="B59" s="245"/>
      <c r="C59" s="245"/>
      <c r="D59" s="245"/>
      <c r="E59" s="245"/>
      <c r="F59" s="245"/>
      <c r="G59" s="245"/>
      <c r="H59" s="245"/>
      <c r="I59" s="245"/>
      <c r="J59" s="245"/>
      <c r="K59" s="245"/>
      <c r="L59" s="245"/>
      <c r="M59" s="245"/>
      <c r="N59" s="245"/>
      <c r="O59" s="245"/>
      <c r="P59" s="245"/>
      <c r="Q59" s="245"/>
      <c r="R59" s="245"/>
    </row>
    <row r="60" spans="1:18" ht="15.75" customHeight="1">
      <c r="A60" s="245"/>
      <c r="B60" s="245"/>
      <c r="C60" s="245"/>
      <c r="D60" s="245"/>
      <c r="E60" s="245"/>
      <c r="F60" s="245"/>
      <c r="G60" s="245"/>
      <c r="H60" s="245"/>
      <c r="I60" s="245"/>
      <c r="J60" s="245"/>
      <c r="K60" s="245"/>
      <c r="L60" s="245"/>
      <c r="M60" s="245"/>
      <c r="N60" s="245"/>
      <c r="O60" s="245"/>
      <c r="P60" s="245"/>
      <c r="Q60" s="245"/>
      <c r="R60" s="245"/>
    </row>
    <row r="61" spans="1:18" ht="15.75" customHeight="1">
      <c r="A61" s="245"/>
      <c r="B61" s="245"/>
      <c r="C61" s="245"/>
      <c r="D61" s="245"/>
      <c r="E61" s="245"/>
      <c r="F61" s="245"/>
      <c r="G61" s="245"/>
      <c r="H61" s="245"/>
      <c r="I61" s="245"/>
      <c r="J61" s="245"/>
      <c r="K61" s="245"/>
      <c r="L61" s="245"/>
      <c r="M61" s="245"/>
      <c r="N61" s="245"/>
      <c r="O61" s="245"/>
      <c r="P61" s="245"/>
      <c r="Q61" s="245"/>
      <c r="R61" s="245"/>
    </row>
    <row r="62" spans="1:18" ht="15.75" customHeight="1">
      <c r="A62" s="245"/>
      <c r="B62" s="245"/>
      <c r="C62" s="245"/>
      <c r="D62" s="245"/>
      <c r="E62" s="245"/>
      <c r="F62" s="245"/>
      <c r="G62" s="245"/>
      <c r="H62" s="245"/>
      <c r="I62" s="245"/>
      <c r="J62" s="245"/>
      <c r="K62" s="245"/>
      <c r="L62" s="245"/>
      <c r="M62" s="245"/>
      <c r="N62" s="245"/>
      <c r="O62" s="245"/>
      <c r="P62" s="245"/>
      <c r="Q62" s="245"/>
      <c r="R62" s="245"/>
    </row>
    <row r="63" spans="1:18" ht="15.75" customHeight="1">
      <c r="A63" s="245"/>
      <c r="B63" s="245"/>
      <c r="C63" s="245"/>
      <c r="D63" s="245"/>
      <c r="E63" s="245"/>
      <c r="F63" s="245"/>
      <c r="G63" s="245"/>
      <c r="H63" s="245"/>
      <c r="I63" s="245"/>
      <c r="J63" s="245"/>
      <c r="K63" s="245"/>
      <c r="L63" s="245"/>
      <c r="M63" s="245"/>
      <c r="N63" s="245"/>
      <c r="O63" s="245"/>
      <c r="P63" s="245"/>
      <c r="Q63" s="245"/>
      <c r="R63" s="245"/>
    </row>
    <row r="64" spans="1:18" ht="15.75" customHeight="1">
      <c r="A64" s="245"/>
      <c r="B64" s="245"/>
      <c r="C64" s="245"/>
      <c r="D64" s="245"/>
      <c r="E64" s="245"/>
      <c r="F64" s="245"/>
      <c r="G64" s="245"/>
      <c r="H64" s="245"/>
      <c r="I64" s="245"/>
      <c r="J64" s="245"/>
      <c r="K64" s="245"/>
      <c r="L64" s="245"/>
      <c r="M64" s="245"/>
      <c r="N64" s="245"/>
      <c r="O64" s="245"/>
      <c r="P64" s="245"/>
      <c r="Q64" s="245"/>
      <c r="R64" s="245"/>
    </row>
    <row r="65" spans="1:18" ht="15.75" customHeight="1">
      <c r="A65" s="245"/>
      <c r="B65" s="245"/>
      <c r="C65" s="245"/>
      <c r="D65" s="245"/>
      <c r="E65" s="245"/>
      <c r="F65" s="245"/>
      <c r="G65" s="245"/>
      <c r="H65" s="245"/>
      <c r="I65" s="245"/>
      <c r="J65" s="245"/>
      <c r="K65" s="245"/>
      <c r="L65" s="245"/>
      <c r="M65" s="245"/>
      <c r="N65" s="245"/>
      <c r="O65" s="245"/>
      <c r="P65" s="245"/>
      <c r="Q65" s="245"/>
      <c r="R65" s="245"/>
    </row>
    <row r="66" spans="1:18" ht="15.75" customHeight="1">
      <c r="A66" s="245"/>
      <c r="B66" s="245"/>
      <c r="C66" s="245"/>
      <c r="D66" s="245"/>
      <c r="E66" s="245"/>
      <c r="F66" s="245"/>
      <c r="G66" s="245"/>
      <c r="H66" s="245"/>
      <c r="I66" s="245"/>
      <c r="J66" s="245"/>
      <c r="K66" s="245"/>
      <c r="L66" s="245"/>
      <c r="M66" s="245"/>
      <c r="N66" s="245"/>
      <c r="O66" s="245"/>
      <c r="P66" s="245"/>
      <c r="Q66" s="245"/>
      <c r="R66" s="245"/>
    </row>
    <row r="67" spans="1:18" ht="15.75" customHeight="1">
      <c r="A67" s="245"/>
      <c r="B67" s="245"/>
      <c r="C67" s="245"/>
      <c r="D67" s="245"/>
      <c r="E67" s="245"/>
      <c r="F67" s="245"/>
      <c r="G67" s="245"/>
      <c r="H67" s="245"/>
      <c r="I67" s="245"/>
      <c r="J67" s="245"/>
      <c r="K67" s="245"/>
      <c r="L67" s="245"/>
      <c r="M67" s="245"/>
      <c r="N67" s="245"/>
      <c r="O67" s="245"/>
      <c r="P67" s="245"/>
      <c r="Q67" s="245"/>
      <c r="R67" s="245"/>
    </row>
    <row r="68" spans="1:18" ht="15.75" customHeight="1">
      <c r="A68" s="245"/>
      <c r="B68" s="245"/>
      <c r="C68" s="245"/>
      <c r="D68" s="245"/>
      <c r="E68" s="245"/>
      <c r="F68" s="245"/>
      <c r="G68" s="245"/>
      <c r="H68" s="245"/>
      <c r="I68" s="245"/>
      <c r="J68" s="245"/>
      <c r="K68" s="245"/>
      <c r="L68" s="245"/>
      <c r="M68" s="245"/>
      <c r="N68" s="245"/>
      <c r="O68" s="245"/>
      <c r="P68" s="245"/>
      <c r="Q68" s="245"/>
      <c r="R68" s="245"/>
    </row>
    <row r="69" spans="1:18" ht="15.75" customHeight="1">
      <c r="A69" s="245"/>
      <c r="B69" s="245"/>
      <c r="C69" s="245"/>
      <c r="D69" s="245"/>
      <c r="E69" s="245"/>
      <c r="F69" s="245"/>
      <c r="G69" s="245"/>
      <c r="H69" s="245"/>
      <c r="I69" s="245"/>
      <c r="J69" s="245"/>
      <c r="K69" s="245"/>
      <c r="L69" s="245"/>
      <c r="M69" s="245"/>
      <c r="N69" s="245"/>
      <c r="O69" s="245"/>
      <c r="P69" s="245"/>
      <c r="Q69" s="245"/>
      <c r="R69" s="245"/>
    </row>
    <row r="70" spans="1:18" ht="15.75" customHeight="1">
      <c r="A70" s="245"/>
      <c r="B70" s="245"/>
      <c r="C70" s="245"/>
      <c r="D70" s="245"/>
      <c r="E70" s="245"/>
      <c r="F70" s="245"/>
      <c r="G70" s="245"/>
      <c r="H70" s="245"/>
      <c r="I70" s="245"/>
      <c r="J70" s="245"/>
      <c r="K70" s="245"/>
      <c r="L70" s="245"/>
      <c r="M70" s="245"/>
      <c r="N70" s="245"/>
      <c r="O70" s="245"/>
      <c r="P70" s="245"/>
      <c r="Q70" s="245"/>
      <c r="R70" s="245"/>
    </row>
    <row r="71" spans="1:18" ht="15.75" customHeight="1">
      <c r="A71" s="245"/>
      <c r="B71" s="245"/>
      <c r="C71" s="245"/>
      <c r="D71" s="245"/>
      <c r="E71" s="245"/>
      <c r="F71" s="245"/>
      <c r="G71" s="245"/>
      <c r="H71" s="245"/>
      <c r="I71" s="245"/>
      <c r="J71" s="245"/>
      <c r="K71" s="245"/>
      <c r="L71" s="245"/>
      <c r="M71" s="245"/>
      <c r="N71" s="245"/>
      <c r="O71" s="245"/>
      <c r="P71" s="245"/>
      <c r="Q71" s="245"/>
      <c r="R71" s="245"/>
    </row>
    <row r="72" spans="1:18" ht="15.75" customHeight="1">
      <c r="A72" s="245"/>
      <c r="B72" s="245"/>
      <c r="C72" s="245"/>
      <c r="D72" s="245"/>
      <c r="E72" s="245"/>
      <c r="F72" s="245"/>
      <c r="G72" s="245"/>
      <c r="H72" s="245"/>
      <c r="I72" s="245"/>
      <c r="J72" s="245"/>
      <c r="K72" s="245"/>
      <c r="L72" s="245"/>
      <c r="M72" s="245"/>
      <c r="N72" s="245"/>
      <c r="O72" s="245"/>
      <c r="P72" s="245"/>
      <c r="Q72" s="245"/>
      <c r="R72" s="245"/>
    </row>
    <row r="73" spans="1:18" ht="15.75" customHeight="1">
      <c r="A73" s="245"/>
      <c r="B73" s="245"/>
      <c r="C73" s="245"/>
      <c r="D73" s="245"/>
      <c r="E73" s="245"/>
      <c r="F73" s="245"/>
      <c r="G73" s="245"/>
      <c r="H73" s="245"/>
      <c r="I73" s="245"/>
      <c r="J73" s="245"/>
      <c r="K73" s="245"/>
      <c r="L73" s="245"/>
      <c r="M73" s="245"/>
      <c r="N73" s="245"/>
      <c r="O73" s="245"/>
      <c r="P73" s="245"/>
      <c r="Q73" s="245"/>
      <c r="R73" s="245"/>
    </row>
    <row r="74" spans="1:18" ht="15.75" customHeight="1">
      <c r="A74" s="245"/>
      <c r="B74" s="245"/>
      <c r="C74" s="245"/>
      <c r="D74" s="245"/>
      <c r="E74" s="245"/>
      <c r="F74" s="245"/>
      <c r="G74" s="245"/>
      <c r="H74" s="245"/>
      <c r="I74" s="245"/>
      <c r="J74" s="245"/>
      <c r="K74" s="245"/>
      <c r="L74" s="245"/>
      <c r="M74" s="245"/>
      <c r="N74" s="245"/>
      <c r="O74" s="245"/>
      <c r="P74" s="245"/>
      <c r="Q74" s="245"/>
      <c r="R74" s="245"/>
    </row>
    <row r="75" spans="1:18" ht="15.75" customHeight="1">
      <c r="A75" s="245"/>
      <c r="B75" s="245"/>
      <c r="C75" s="245"/>
      <c r="D75" s="245"/>
      <c r="E75" s="245"/>
      <c r="F75" s="245"/>
      <c r="G75" s="245"/>
      <c r="H75" s="245"/>
      <c r="I75" s="245"/>
      <c r="J75" s="245"/>
      <c r="K75" s="245"/>
      <c r="L75" s="245"/>
      <c r="M75" s="245"/>
      <c r="N75" s="245"/>
      <c r="O75" s="245"/>
      <c r="P75" s="245"/>
      <c r="Q75" s="245"/>
      <c r="R75" s="245"/>
    </row>
    <row r="76" spans="1:18" ht="15.75" customHeight="1">
      <c r="A76" s="245"/>
      <c r="B76" s="245"/>
      <c r="C76" s="245"/>
      <c r="D76" s="245"/>
      <c r="E76" s="245"/>
      <c r="F76" s="245"/>
      <c r="G76" s="245"/>
      <c r="H76" s="245"/>
      <c r="I76" s="245"/>
      <c r="J76" s="245"/>
      <c r="K76" s="245"/>
      <c r="L76" s="245"/>
      <c r="M76" s="245"/>
      <c r="N76" s="245"/>
      <c r="O76" s="245"/>
      <c r="P76" s="245"/>
      <c r="Q76" s="245"/>
      <c r="R76" s="245"/>
    </row>
    <row r="77" spans="1:18" ht="15.75" customHeight="1">
      <c r="A77" s="245"/>
      <c r="B77" s="245"/>
      <c r="C77" s="245"/>
      <c r="D77" s="245"/>
      <c r="E77" s="245"/>
      <c r="F77" s="245"/>
      <c r="G77" s="245"/>
      <c r="H77" s="245"/>
      <c r="I77" s="245"/>
      <c r="J77" s="245"/>
      <c r="K77" s="245"/>
      <c r="L77" s="245"/>
      <c r="M77" s="245"/>
      <c r="N77" s="245"/>
      <c r="O77" s="245"/>
      <c r="P77" s="245"/>
      <c r="Q77" s="245"/>
      <c r="R77" s="245"/>
    </row>
    <row r="78" spans="1:18" ht="15.75" customHeight="1">
      <c r="A78" s="245"/>
      <c r="B78" s="245"/>
      <c r="C78" s="245"/>
      <c r="D78" s="245"/>
      <c r="E78" s="245"/>
      <c r="F78" s="245"/>
      <c r="G78" s="245"/>
      <c r="H78" s="245"/>
      <c r="I78" s="245"/>
      <c r="J78" s="245"/>
      <c r="K78" s="245"/>
      <c r="L78" s="245"/>
      <c r="M78" s="245"/>
      <c r="N78" s="245"/>
      <c r="O78" s="245"/>
      <c r="P78" s="245"/>
      <c r="Q78" s="245"/>
      <c r="R78" s="245"/>
    </row>
    <row r="79" spans="1:18" ht="15.75" customHeight="1">
      <c r="A79" s="245"/>
      <c r="B79" s="245"/>
      <c r="C79" s="245"/>
      <c r="D79" s="245"/>
      <c r="E79" s="245"/>
      <c r="F79" s="245"/>
      <c r="G79" s="245"/>
      <c r="H79" s="245"/>
      <c r="I79" s="245"/>
      <c r="J79" s="245"/>
      <c r="K79" s="245"/>
      <c r="L79" s="245"/>
      <c r="M79" s="245"/>
      <c r="N79" s="245"/>
      <c r="O79" s="245"/>
      <c r="P79" s="245"/>
      <c r="Q79" s="245"/>
      <c r="R79" s="245"/>
    </row>
    <row r="80" spans="1:18" ht="15.75" customHeight="1">
      <c r="A80" s="245"/>
      <c r="B80" s="245"/>
      <c r="C80" s="245"/>
      <c r="D80" s="245"/>
      <c r="E80" s="245"/>
      <c r="F80" s="245"/>
      <c r="G80" s="245"/>
      <c r="H80" s="245"/>
      <c r="I80" s="245"/>
      <c r="J80" s="245"/>
      <c r="K80" s="245"/>
      <c r="L80" s="245"/>
      <c r="M80" s="245"/>
      <c r="N80" s="245"/>
      <c r="O80" s="245"/>
      <c r="P80" s="245"/>
      <c r="Q80" s="245"/>
      <c r="R80" s="245"/>
    </row>
    <row r="81" spans="1:18" ht="15.75" customHeight="1">
      <c r="A81" s="245"/>
      <c r="B81" s="245"/>
      <c r="C81" s="245"/>
      <c r="D81" s="245"/>
      <c r="E81" s="245"/>
      <c r="F81" s="245"/>
      <c r="G81" s="245"/>
      <c r="H81" s="245"/>
      <c r="I81" s="245"/>
      <c r="J81" s="245"/>
      <c r="K81" s="245"/>
      <c r="L81" s="245"/>
      <c r="M81" s="245"/>
      <c r="N81" s="245"/>
      <c r="O81" s="245"/>
      <c r="P81" s="245"/>
      <c r="Q81" s="245"/>
      <c r="R81" s="245"/>
    </row>
    <row r="82" spans="1:18" ht="15.75" customHeight="1">
      <c r="A82" s="245"/>
      <c r="B82" s="245"/>
      <c r="C82" s="245"/>
      <c r="D82" s="245"/>
      <c r="E82" s="245"/>
      <c r="F82" s="245"/>
      <c r="G82" s="245"/>
      <c r="H82" s="245"/>
      <c r="I82" s="245"/>
      <c r="J82" s="245"/>
      <c r="K82" s="245"/>
      <c r="L82" s="245"/>
      <c r="M82" s="245"/>
      <c r="N82" s="245"/>
      <c r="O82" s="245"/>
      <c r="P82" s="245"/>
      <c r="Q82" s="245"/>
      <c r="R82" s="245"/>
    </row>
    <row r="83" spans="1:18" ht="15.75" customHeight="1">
      <c r="A83" s="245"/>
      <c r="B83" s="245"/>
      <c r="C83" s="245"/>
      <c r="D83" s="245"/>
      <c r="E83" s="245"/>
      <c r="F83" s="245"/>
      <c r="G83" s="245"/>
      <c r="H83" s="245"/>
      <c r="I83" s="245"/>
      <c r="J83" s="245"/>
      <c r="K83" s="245"/>
      <c r="L83" s="245"/>
      <c r="M83" s="245"/>
      <c r="N83" s="245"/>
      <c r="O83" s="245"/>
      <c r="P83" s="245"/>
      <c r="Q83" s="245"/>
      <c r="R83" s="245"/>
    </row>
    <row r="84" spans="1:18" ht="15.75" customHeight="1">
      <c r="A84" s="245"/>
      <c r="B84" s="245"/>
      <c r="C84" s="245"/>
      <c r="D84" s="245"/>
      <c r="E84" s="245"/>
      <c r="F84" s="245"/>
      <c r="G84" s="245"/>
      <c r="H84" s="245"/>
      <c r="I84" s="245"/>
      <c r="J84" s="245"/>
      <c r="K84" s="245"/>
      <c r="L84" s="245"/>
      <c r="M84" s="245"/>
      <c r="N84" s="245"/>
      <c r="O84" s="245"/>
      <c r="P84" s="245"/>
      <c r="Q84" s="245"/>
      <c r="R84" s="245"/>
    </row>
    <row r="85" spans="1:18" ht="15.75" customHeight="1">
      <c r="A85" s="245"/>
      <c r="B85" s="245"/>
      <c r="C85" s="245"/>
      <c r="D85" s="245"/>
      <c r="E85" s="245"/>
      <c r="F85" s="245"/>
      <c r="G85" s="245"/>
      <c r="H85" s="245"/>
      <c r="I85" s="245"/>
      <c r="J85" s="245"/>
      <c r="K85" s="245"/>
      <c r="L85" s="245"/>
      <c r="M85" s="245"/>
      <c r="N85" s="245"/>
      <c r="O85" s="245"/>
      <c r="P85" s="245"/>
      <c r="Q85" s="245"/>
      <c r="R85" s="245"/>
    </row>
    <row r="86" spans="1:18" ht="15.75" customHeight="1">
      <c r="A86" s="245"/>
      <c r="B86" s="245"/>
      <c r="C86" s="245"/>
      <c r="D86" s="245"/>
      <c r="E86" s="245"/>
      <c r="F86" s="245"/>
      <c r="G86" s="245"/>
      <c r="H86" s="245"/>
      <c r="I86" s="245"/>
      <c r="J86" s="245"/>
      <c r="K86" s="245"/>
      <c r="L86" s="245"/>
      <c r="M86" s="245"/>
      <c r="N86" s="245"/>
      <c r="O86" s="245"/>
      <c r="P86" s="245"/>
      <c r="Q86" s="245"/>
      <c r="R86" s="245"/>
    </row>
    <row r="87" spans="1:18" ht="15.75" customHeight="1">
      <c r="A87" s="245"/>
      <c r="B87" s="245"/>
      <c r="C87" s="245"/>
      <c r="D87" s="245"/>
      <c r="E87" s="245"/>
      <c r="F87" s="245"/>
      <c r="G87" s="245"/>
      <c r="H87" s="245"/>
      <c r="I87" s="245"/>
      <c r="J87" s="245"/>
      <c r="K87" s="245"/>
      <c r="L87" s="245"/>
      <c r="M87" s="245"/>
      <c r="N87" s="245"/>
      <c r="O87" s="245"/>
      <c r="P87" s="245"/>
      <c r="Q87" s="245"/>
      <c r="R87" s="245"/>
    </row>
    <row r="88" spans="1:18" ht="15.75" customHeight="1">
      <c r="A88" s="245"/>
      <c r="B88" s="245"/>
      <c r="C88" s="245"/>
      <c r="D88" s="245"/>
      <c r="E88" s="245"/>
      <c r="F88" s="245"/>
      <c r="G88" s="245"/>
      <c r="H88" s="245"/>
      <c r="I88" s="245"/>
      <c r="J88" s="245"/>
      <c r="K88" s="245"/>
      <c r="L88" s="245"/>
      <c r="M88" s="245"/>
      <c r="N88" s="245"/>
      <c r="O88" s="245"/>
      <c r="P88" s="245"/>
      <c r="Q88" s="245"/>
      <c r="R88" s="245"/>
    </row>
    <row r="89" spans="1:18" ht="15.75" customHeight="1">
      <c r="A89" s="245"/>
      <c r="B89" s="245"/>
      <c r="C89" s="245"/>
      <c r="D89" s="245"/>
      <c r="E89" s="245"/>
      <c r="F89" s="245"/>
      <c r="G89" s="245"/>
      <c r="H89" s="245"/>
      <c r="I89" s="245"/>
      <c r="J89" s="245"/>
      <c r="K89" s="245"/>
      <c r="L89" s="245"/>
      <c r="M89" s="245"/>
      <c r="N89" s="245"/>
      <c r="O89" s="245"/>
      <c r="P89" s="245"/>
      <c r="Q89" s="245"/>
      <c r="R89" s="245"/>
    </row>
    <row r="90" spans="1:18" ht="15.75" customHeight="1">
      <c r="A90" s="245"/>
      <c r="B90" s="245"/>
      <c r="C90" s="245"/>
      <c r="D90" s="245"/>
      <c r="E90" s="245"/>
      <c r="F90" s="245"/>
      <c r="G90" s="245"/>
      <c r="H90" s="245"/>
      <c r="I90" s="245"/>
      <c r="J90" s="245"/>
      <c r="K90" s="245"/>
      <c r="L90" s="245"/>
      <c r="M90" s="245"/>
      <c r="N90" s="245"/>
      <c r="O90" s="245"/>
      <c r="P90" s="245"/>
      <c r="Q90" s="245"/>
      <c r="R90" s="245"/>
    </row>
    <row r="91" spans="1:18" ht="15.75" customHeight="1">
      <c r="A91" s="245"/>
      <c r="B91" s="245"/>
      <c r="C91" s="245"/>
      <c r="D91" s="245"/>
      <c r="E91" s="245"/>
      <c r="F91" s="245"/>
      <c r="G91" s="245"/>
      <c r="H91" s="245"/>
      <c r="I91" s="245"/>
      <c r="J91" s="245"/>
      <c r="K91" s="245"/>
      <c r="L91" s="245"/>
      <c r="M91" s="245"/>
      <c r="N91" s="245"/>
      <c r="O91" s="245"/>
      <c r="P91" s="245"/>
      <c r="Q91" s="245"/>
      <c r="R91" s="245"/>
    </row>
    <row r="92" spans="1:18" ht="15.75" customHeight="1">
      <c r="A92" s="245"/>
      <c r="B92" s="245"/>
      <c r="C92" s="245"/>
      <c r="D92" s="245"/>
      <c r="E92" s="245"/>
      <c r="F92" s="245"/>
      <c r="G92" s="245"/>
      <c r="H92" s="245"/>
      <c r="I92" s="245"/>
      <c r="J92" s="245"/>
      <c r="K92" s="245"/>
      <c r="L92" s="245"/>
      <c r="M92" s="245"/>
      <c r="N92" s="245"/>
      <c r="O92" s="245"/>
      <c r="P92" s="245"/>
      <c r="Q92" s="245"/>
      <c r="R92" s="245"/>
    </row>
    <row r="93" spans="1:18" ht="15.75" customHeight="1">
      <c r="A93" s="245"/>
      <c r="B93" s="245"/>
      <c r="C93" s="245"/>
      <c r="D93" s="245"/>
      <c r="E93" s="245"/>
      <c r="F93" s="245"/>
      <c r="G93" s="245"/>
      <c r="H93" s="245"/>
      <c r="I93" s="245"/>
      <c r="J93" s="245"/>
      <c r="K93" s="245"/>
      <c r="L93" s="245"/>
      <c r="M93" s="245"/>
      <c r="N93" s="245"/>
      <c r="O93" s="245"/>
      <c r="P93" s="245"/>
      <c r="Q93" s="245"/>
      <c r="R93" s="245"/>
    </row>
    <row r="94" spans="1:18" ht="15.75" customHeight="1">
      <c r="A94" s="245"/>
      <c r="B94" s="245"/>
      <c r="C94" s="245"/>
      <c r="D94" s="245"/>
      <c r="E94" s="245"/>
      <c r="F94" s="245"/>
      <c r="G94" s="245"/>
      <c r="H94" s="245"/>
      <c r="I94" s="245"/>
      <c r="J94" s="245"/>
      <c r="K94" s="245"/>
      <c r="L94" s="245"/>
      <c r="M94" s="245"/>
      <c r="N94" s="245"/>
      <c r="O94" s="245"/>
      <c r="P94" s="245"/>
      <c r="Q94" s="245"/>
      <c r="R94" s="245"/>
    </row>
    <row r="95" spans="1:18" ht="15.75" customHeight="1">
      <c r="A95" s="245"/>
      <c r="B95" s="245"/>
      <c r="C95" s="245"/>
      <c r="D95" s="245"/>
      <c r="E95" s="245"/>
      <c r="F95" s="245"/>
      <c r="G95" s="245"/>
      <c r="H95" s="245"/>
      <c r="I95" s="245"/>
      <c r="J95" s="245"/>
      <c r="K95" s="245"/>
      <c r="L95" s="245"/>
      <c r="M95" s="245"/>
      <c r="N95" s="245"/>
      <c r="O95" s="245"/>
      <c r="P95" s="245"/>
      <c r="Q95" s="245"/>
      <c r="R95" s="245"/>
    </row>
    <row r="96" spans="1:18" ht="15.75" customHeight="1">
      <c r="A96" s="245"/>
      <c r="B96" s="245"/>
      <c r="C96" s="245"/>
      <c r="D96" s="245"/>
      <c r="E96" s="245"/>
      <c r="F96" s="245"/>
      <c r="G96" s="245"/>
      <c r="H96" s="245"/>
      <c r="I96" s="245"/>
      <c r="J96" s="245"/>
      <c r="K96" s="245"/>
      <c r="L96" s="245"/>
      <c r="M96" s="245"/>
      <c r="N96" s="245"/>
      <c r="O96" s="245"/>
      <c r="P96" s="245"/>
      <c r="Q96" s="245"/>
      <c r="R96" s="245"/>
    </row>
    <row r="97" spans="1:18" ht="15.75" customHeight="1">
      <c r="A97" s="245"/>
      <c r="B97" s="245"/>
      <c r="C97" s="245"/>
      <c r="D97" s="245"/>
      <c r="E97" s="245"/>
      <c r="F97" s="245"/>
      <c r="G97" s="245"/>
      <c r="H97" s="245"/>
      <c r="I97" s="245"/>
      <c r="J97" s="245"/>
      <c r="K97" s="245"/>
      <c r="L97" s="245"/>
      <c r="M97" s="245"/>
      <c r="N97" s="245"/>
      <c r="O97" s="245"/>
      <c r="P97" s="245"/>
      <c r="Q97" s="245"/>
      <c r="R97" s="245"/>
    </row>
    <row r="98" spans="1:18" ht="15.75" customHeight="1">
      <c r="A98" s="245"/>
      <c r="B98" s="245"/>
      <c r="C98" s="245"/>
      <c r="D98" s="245"/>
      <c r="E98" s="245"/>
      <c r="F98" s="245"/>
      <c r="G98" s="245"/>
      <c r="H98" s="245"/>
      <c r="I98" s="245"/>
      <c r="J98" s="245"/>
      <c r="K98" s="245"/>
      <c r="L98" s="245"/>
      <c r="M98" s="245"/>
      <c r="N98" s="245"/>
      <c r="O98" s="245"/>
      <c r="P98" s="245"/>
      <c r="Q98" s="245"/>
      <c r="R98" s="245"/>
    </row>
    <row r="99" spans="1:18" ht="15.75" customHeight="1">
      <c r="A99" s="245"/>
      <c r="B99" s="245"/>
      <c r="C99" s="245"/>
      <c r="D99" s="245"/>
      <c r="E99" s="245"/>
      <c r="F99" s="245"/>
      <c r="G99" s="245"/>
      <c r="H99" s="245"/>
      <c r="I99" s="245"/>
      <c r="J99" s="245"/>
      <c r="K99" s="245"/>
      <c r="L99" s="245"/>
      <c r="M99" s="245"/>
      <c r="N99" s="245"/>
      <c r="O99" s="245"/>
      <c r="P99" s="245"/>
      <c r="Q99" s="245"/>
      <c r="R99" s="245"/>
    </row>
  </sheetData>
  <mergeCells count="3">
    <mergeCell ref="A1:F1"/>
    <mergeCell ref="A2:H2"/>
    <mergeCell ref="A49:H49"/>
  </mergeCells>
  <conditionalFormatting sqref="B36:H38">
    <cfRule type="cellIs" dxfId="0" priority="1" operator="lessThan">
      <formula>0</formula>
    </cfRule>
  </conditionalFormatting>
  <pageMargins left="0.7" right="0.7" top="0.75" bottom="0.75" header="0" footer="0"/>
  <pageSetup scale="61" fitToHeight="0" orientation="landscape" r:id="rId1"/>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9</vt:i4>
      </vt:variant>
    </vt:vector>
  </HeadingPairs>
  <TitlesOfParts>
    <vt:vector size="30"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Sheet1</vt:lpstr>
      <vt:lpstr>8.Cash Flow </vt:lpstr>
      <vt:lpstr>10.Grain Production details</vt:lpstr>
      <vt:lpstr>9. Financial indiacators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Sheet2</vt:lpstr>
      <vt:lpstr>Sheet3</vt:lpstr>
      <vt:lpstr>'1.Project Cost and MOF'!Print_Area</vt:lpstr>
      <vt:lpstr>'10.Grain Production details'!Print_Area</vt:lpstr>
      <vt:lpstr>'13.Facility 2 Grain Processing'!Print_Area</vt:lpstr>
      <vt:lpstr>'2.Capex Details'!Print_Area</vt:lpstr>
      <vt:lpstr>'4.TL repayment sch'!Print_Area</vt:lpstr>
      <vt:lpstr>'5.Closing Stock &amp; W Capital'!Print_Area</vt:lpstr>
      <vt:lpstr>'6.Cons Profit &amp; Loss'!Print_Area</vt:lpstr>
      <vt:lpstr>'7.Balance Sheet'!Print_Area</vt:lpstr>
      <vt:lpstr>'8.Cash Flow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rajesh</cp:lastModifiedBy>
  <cp:lastPrinted>2023-01-05T06:22:59Z</cp:lastPrinted>
  <dcterms:created xsi:type="dcterms:W3CDTF">2006-09-16T00:00:00Z</dcterms:created>
  <dcterms:modified xsi:type="dcterms:W3CDTF">2023-01-05T06:23:55Z</dcterms:modified>
</cp:coreProperties>
</file>