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filterPrivacy="1" defaultThemeVersion="124226"/>
  <bookViews>
    <workbookView xWindow="-105" yWindow="-105" windowWidth="20730" windowHeight="11760" tabRatio="601" firstSheet="5" activeTab="9"/>
  </bookViews>
  <sheets>
    <sheet name="Note for users" sheetId="82" r:id="rId1"/>
    <sheet name="1.Project Cost and MOF" sheetId="62" r:id="rId2"/>
    <sheet name="2.Capex Details" sheetId="57" r:id="rId3"/>
    <sheet name="3.Other Exp &amp; Taxes" sheetId="22" r:id="rId4"/>
    <sheet name="4.TL repayment sch" sheetId="23" r:id="rId5"/>
    <sheet name="5.Closing Stock &amp; W Capital" sheetId="61" r:id="rId6"/>
    <sheet name="6.Cons Profit &amp; Loss" sheetId="21" r:id="rId7"/>
    <sheet name="7.Balance Sheet" sheetId="69" r:id="rId8"/>
    <sheet name="8.Cash Flow " sheetId="68" r:id="rId9"/>
    <sheet name="9. Financial indiacators" sheetId="29" r:id="rId10"/>
    <sheet name="10.Grain Production details" sheetId="81" r:id="rId11"/>
    <sheet name="11.F&amp;V Crop Production details" sheetId="83" r:id="rId12"/>
    <sheet name="12.Facility 1 - Trading" sheetId="55" r:id="rId13"/>
    <sheet name="13.Facility 2 Grain Processing" sheetId="72" r:id="rId14"/>
    <sheet name="14. Facility 3 Warehouse" sheetId="42" r:id="rId15"/>
    <sheet name="15. Facility 4 Custom Hiring" sheetId="48" r:id="rId16"/>
    <sheet name="16.Facility 5 Agri Input" sheetId="53" r:id="rId17"/>
    <sheet name="17.Facility 6 Horti Processing " sheetId="84" r:id="rId18"/>
  </sheets>
  <externalReferences>
    <externalReference r:id="rId19"/>
    <externalReference r:id="rId20"/>
  </externalReferences>
  <definedNames>
    <definedName name="_xlnm.Print_Area" localSheetId="1">'1.Project Cost and MOF'!$A$1:$G$35</definedName>
    <definedName name="_xlnm.Print_Area" localSheetId="10">'10.Grain Production details'!$A$1:$H$114</definedName>
    <definedName name="_xlnm.Print_Area" localSheetId="11">'11.F&amp;V Crop Production details'!$A$1:$H$127</definedName>
    <definedName name="_xlnm.Print_Area" localSheetId="12">'12.Facility 1 - Trading'!$A$1:$J$308</definedName>
    <definedName name="_xlnm.Print_Area" localSheetId="13">'13.Facility 2 Grain Processing'!$A$3:$J$197</definedName>
    <definedName name="_xlnm.Print_Area" localSheetId="14">'14. Facility 3 Warehouse'!$A$1:$J$51</definedName>
    <definedName name="_xlnm.Print_Area" localSheetId="15">'15. Facility 4 Custom Hiring'!$A$1:$M$62</definedName>
    <definedName name="_xlnm.Print_Area" localSheetId="16">'16.Facility 5 Agri Input'!$A$1:$J$280</definedName>
    <definedName name="_xlnm.Print_Area" localSheetId="17">'17.Facility 6 Horti Processing '!$A$1:$J$192</definedName>
    <definedName name="_xlnm.Print_Area" localSheetId="2">'2.Capex Details'!$A$1:$H$117</definedName>
    <definedName name="_xlnm.Print_Area" localSheetId="3">'3.Other Exp &amp; Taxes'!$A$1:$R$106</definedName>
    <definedName name="_xlnm.Print_Area" localSheetId="4">'4.TL repayment sch'!$A$1:$G$95</definedName>
    <definedName name="_xlnm.Print_Area" localSheetId="5">'5.Closing Stock &amp; W Capital'!$A$1:$L$59</definedName>
    <definedName name="_xlnm.Print_Area" localSheetId="6">'6.Cons Profit &amp; Loss'!$A$1:$H$56</definedName>
    <definedName name="_xlnm.Print_Area" localSheetId="7">'7.Balance Sheet'!$A$1:$H$49</definedName>
    <definedName name="_xlnm.Print_Area" localSheetId="8">'8.Cash Flow '!$A$1:$I$35</definedName>
    <definedName name="_xlnm.Print_Area" localSheetId="9">'9. Financial indiacators'!$B$1:$J$186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203" i="55" l="1"/>
  <c r="F12" i="62" l="1"/>
  <c r="I18" i="62" l="1"/>
  <c r="J20" i="57"/>
  <c r="L20" i="57"/>
  <c r="M13" i="57"/>
  <c r="B7" i="81"/>
  <c r="B9" i="81"/>
  <c r="D14" i="81"/>
  <c r="F14" i="81"/>
  <c r="H14" i="81"/>
  <c r="B67" i="81"/>
  <c r="B13" i="72"/>
  <c r="B37" i="72"/>
  <c r="B59" i="72"/>
  <c r="D148" i="72"/>
  <c r="C23" i="81"/>
  <c r="D24" i="81"/>
  <c r="F24" i="81"/>
  <c r="H24" i="81"/>
  <c r="B76" i="81"/>
  <c r="B22" i="72"/>
  <c r="B46" i="72"/>
  <c r="B93" i="72"/>
  <c r="D147" i="72"/>
  <c r="D27" i="81"/>
  <c r="F27" i="81"/>
  <c r="H27" i="81"/>
  <c r="B79" i="81"/>
  <c r="B25" i="72"/>
  <c r="B49" i="72"/>
  <c r="B103" i="72"/>
  <c r="D146" i="72"/>
  <c r="C67" i="81"/>
  <c r="D67" i="81"/>
  <c r="E67" i="81"/>
  <c r="F67" i="81"/>
  <c r="G67" i="81"/>
  <c r="H67" i="81"/>
  <c r="H13" i="72"/>
  <c r="H37" i="72"/>
  <c r="H59" i="72"/>
  <c r="J165" i="72"/>
  <c r="G13" i="72"/>
  <c r="G37" i="72"/>
  <c r="G59" i="72"/>
  <c r="I165" i="72"/>
  <c r="F13" i="72"/>
  <c r="F37" i="72"/>
  <c r="F59" i="72"/>
  <c r="H165" i="72"/>
  <c r="E13" i="72"/>
  <c r="E37" i="72"/>
  <c r="E59" i="72"/>
  <c r="G165" i="72"/>
  <c r="D13" i="72"/>
  <c r="D37" i="72"/>
  <c r="D59" i="72"/>
  <c r="F165" i="72"/>
  <c r="C13" i="72"/>
  <c r="C37" i="72"/>
  <c r="C59" i="72"/>
  <c r="E165" i="72"/>
  <c r="D165" i="72"/>
  <c r="C76" i="81"/>
  <c r="D76" i="81"/>
  <c r="E76" i="81"/>
  <c r="F76" i="81"/>
  <c r="G76" i="81"/>
  <c r="H76" i="81"/>
  <c r="H22" i="72"/>
  <c r="H46" i="72"/>
  <c r="H93" i="72"/>
  <c r="J164" i="72"/>
  <c r="G22" i="72"/>
  <c r="G46" i="72"/>
  <c r="G93" i="72"/>
  <c r="I164" i="72"/>
  <c r="F22" i="72"/>
  <c r="F46" i="72"/>
  <c r="F93" i="72"/>
  <c r="H164" i="72"/>
  <c r="E22" i="72"/>
  <c r="E46" i="72"/>
  <c r="E93" i="72"/>
  <c r="G164" i="72"/>
  <c r="D22" i="72"/>
  <c r="D46" i="72"/>
  <c r="D93" i="72"/>
  <c r="F164" i="72"/>
  <c r="C22" i="72"/>
  <c r="C46" i="72"/>
  <c r="C93" i="72"/>
  <c r="E164" i="72"/>
  <c r="D164" i="72"/>
  <c r="C79" i="81"/>
  <c r="D79" i="81"/>
  <c r="E79" i="81"/>
  <c r="F79" i="81"/>
  <c r="G79" i="81"/>
  <c r="H79" i="81"/>
  <c r="H25" i="72"/>
  <c r="H49" i="72"/>
  <c r="H103" i="72"/>
  <c r="J163" i="72"/>
  <c r="G25" i="72"/>
  <c r="G49" i="72"/>
  <c r="G103" i="72"/>
  <c r="I163" i="72"/>
  <c r="F25" i="72"/>
  <c r="F49" i="72"/>
  <c r="F103" i="72"/>
  <c r="H163" i="72"/>
  <c r="E25" i="72"/>
  <c r="E49" i="72"/>
  <c r="E103" i="72"/>
  <c r="G163" i="72"/>
  <c r="D25" i="72"/>
  <c r="D49" i="72"/>
  <c r="D103" i="72"/>
  <c r="F163" i="72"/>
  <c r="C25" i="72"/>
  <c r="C49" i="72"/>
  <c r="C103" i="72"/>
  <c r="E163" i="72"/>
  <c r="D163" i="72"/>
  <c r="A165" i="72"/>
  <c r="A164" i="72"/>
  <c r="A163" i="72"/>
  <c r="J148" i="72"/>
  <c r="I148" i="72"/>
  <c r="H148" i="72"/>
  <c r="G148" i="72"/>
  <c r="F148" i="72"/>
  <c r="E148" i="72"/>
  <c r="J147" i="72"/>
  <c r="I147" i="72"/>
  <c r="H147" i="72"/>
  <c r="G147" i="72"/>
  <c r="F147" i="72"/>
  <c r="E147" i="72"/>
  <c r="J146" i="72"/>
  <c r="I146" i="72"/>
  <c r="H146" i="72"/>
  <c r="G146" i="72"/>
  <c r="F146" i="72"/>
  <c r="E146" i="72"/>
  <c r="D19" i="81"/>
  <c r="F19" i="81"/>
  <c r="H19" i="81"/>
  <c r="B72" i="81"/>
  <c r="C72" i="81"/>
  <c r="D72" i="81"/>
  <c r="E72" i="81"/>
  <c r="F72" i="81"/>
  <c r="G72" i="81"/>
  <c r="H72" i="81"/>
  <c r="H18" i="72"/>
  <c r="H42" i="72"/>
  <c r="H79" i="72"/>
  <c r="J144" i="72"/>
  <c r="G18" i="72"/>
  <c r="G42" i="72"/>
  <c r="G79" i="72"/>
  <c r="I144" i="72"/>
  <c r="F18" i="72"/>
  <c r="F42" i="72"/>
  <c r="F79" i="72"/>
  <c r="H144" i="72"/>
  <c r="D17" i="81"/>
  <c r="F17" i="81"/>
  <c r="H17" i="81"/>
  <c r="B70" i="81"/>
  <c r="C70" i="81"/>
  <c r="D70" i="81"/>
  <c r="E70" i="81"/>
  <c r="F70" i="81"/>
  <c r="G70" i="81"/>
  <c r="H70" i="81"/>
  <c r="H16" i="72"/>
  <c r="H40" i="72"/>
  <c r="H71" i="72"/>
  <c r="J145" i="72"/>
  <c r="G16" i="72"/>
  <c r="G40" i="72"/>
  <c r="G71" i="72"/>
  <c r="I145" i="72"/>
  <c r="F16" i="72"/>
  <c r="F40" i="72"/>
  <c r="F71" i="72"/>
  <c r="H145" i="72"/>
  <c r="E16" i="72"/>
  <c r="E40" i="72"/>
  <c r="E71" i="72"/>
  <c r="G145" i="72"/>
  <c r="D16" i="72"/>
  <c r="D40" i="72"/>
  <c r="D71" i="72"/>
  <c r="F145" i="72"/>
  <c r="C16" i="72"/>
  <c r="C40" i="72"/>
  <c r="C71" i="72"/>
  <c r="E145" i="72"/>
  <c r="B16" i="72"/>
  <c r="B40" i="72"/>
  <c r="B71" i="72"/>
  <c r="D145" i="72"/>
  <c r="D18" i="72"/>
  <c r="D42" i="72"/>
  <c r="D79" i="72"/>
  <c r="F144" i="72"/>
  <c r="C18" i="72"/>
  <c r="C42" i="72"/>
  <c r="C79" i="72"/>
  <c r="E144" i="72"/>
  <c r="B18" i="72"/>
  <c r="B42" i="72"/>
  <c r="B79" i="72"/>
  <c r="D144" i="72"/>
  <c r="E18" i="72"/>
  <c r="E42" i="72"/>
  <c r="E79" i="72"/>
  <c r="G144" i="72"/>
  <c r="D25" i="81"/>
  <c r="F25" i="81"/>
  <c r="H25" i="81"/>
  <c r="B77" i="81"/>
  <c r="C77" i="81"/>
  <c r="D77" i="81"/>
  <c r="E77" i="81"/>
  <c r="F77" i="81"/>
  <c r="G77" i="81"/>
  <c r="H77" i="81"/>
  <c r="H23" i="72"/>
  <c r="H47" i="72"/>
  <c r="H97" i="72"/>
  <c r="J142" i="72"/>
  <c r="G23" i="72"/>
  <c r="G47" i="72"/>
  <c r="G97" i="72"/>
  <c r="I142" i="72"/>
  <c r="F23" i="72"/>
  <c r="F47" i="72"/>
  <c r="F97" i="72"/>
  <c r="H142" i="72"/>
  <c r="E23" i="72"/>
  <c r="E47" i="72"/>
  <c r="E97" i="72"/>
  <c r="G142" i="72"/>
  <c r="D23" i="72"/>
  <c r="D47" i="72"/>
  <c r="D97" i="72"/>
  <c r="F142" i="72"/>
  <c r="C23" i="72"/>
  <c r="C47" i="72"/>
  <c r="C97" i="72"/>
  <c r="E142" i="72"/>
  <c r="B23" i="72"/>
  <c r="B47" i="72"/>
  <c r="B97" i="72"/>
  <c r="D142" i="72"/>
  <c r="H98" i="72"/>
  <c r="J143" i="72"/>
  <c r="G98" i="72"/>
  <c r="I143" i="72"/>
  <c r="F98" i="72"/>
  <c r="H143" i="72"/>
  <c r="E98" i="72"/>
  <c r="G143" i="72"/>
  <c r="D98" i="72"/>
  <c r="F143" i="72"/>
  <c r="C98" i="72"/>
  <c r="E143" i="72"/>
  <c r="B98" i="72"/>
  <c r="D143" i="72"/>
  <c r="A22" i="72"/>
  <c r="A46" i="72"/>
  <c r="A92" i="72"/>
  <c r="A147" i="72"/>
  <c r="A25" i="72"/>
  <c r="A49" i="72"/>
  <c r="A102" i="72"/>
  <c r="A146" i="72"/>
  <c r="H72" i="72"/>
  <c r="G72" i="72"/>
  <c r="F72" i="72"/>
  <c r="E72" i="72"/>
  <c r="D72" i="72"/>
  <c r="C72" i="72"/>
  <c r="B72" i="72"/>
  <c r="H80" i="72"/>
  <c r="G80" i="72"/>
  <c r="F80" i="72"/>
  <c r="E80" i="72"/>
  <c r="D80" i="72"/>
  <c r="C80" i="72"/>
  <c r="B80" i="72"/>
  <c r="J10" i="57"/>
  <c r="F7" i="57"/>
  <c r="K15" i="57"/>
  <c r="K13" i="57"/>
  <c r="G23" i="57"/>
  <c r="M145" i="72"/>
  <c r="M7" i="57"/>
  <c r="L7" i="57"/>
  <c r="C28" i="48"/>
  <c r="D28" i="48"/>
  <c r="F23" i="48"/>
  <c r="G23" i="48"/>
  <c r="H23" i="48"/>
  <c r="I23" i="48"/>
  <c r="J23" i="48"/>
  <c r="J28" i="48"/>
  <c r="C29" i="48"/>
  <c r="D29" i="48"/>
  <c r="J29" i="48"/>
  <c r="C30" i="48"/>
  <c r="D30" i="48"/>
  <c r="J30" i="48"/>
  <c r="C31" i="48"/>
  <c r="D31" i="48"/>
  <c r="J31" i="48"/>
  <c r="C32" i="48"/>
  <c r="D32" i="48"/>
  <c r="J32" i="48"/>
  <c r="C33" i="48"/>
  <c r="D33" i="48"/>
  <c r="J33" i="48"/>
  <c r="C34" i="48"/>
  <c r="D34" i="48"/>
  <c r="J34" i="48"/>
  <c r="C35" i="48"/>
  <c r="D35" i="48"/>
  <c r="J35" i="48"/>
  <c r="C36" i="48"/>
  <c r="D36" i="48"/>
  <c r="J36" i="48"/>
  <c r="C37" i="48"/>
  <c r="D37" i="48"/>
  <c r="J37" i="48"/>
  <c r="C38" i="48"/>
  <c r="D38" i="48"/>
  <c r="J38" i="48"/>
  <c r="J39" i="48"/>
  <c r="G11" i="21"/>
  <c r="H9" i="53"/>
  <c r="H62" i="53"/>
  <c r="E124" i="53"/>
  <c r="F124" i="53"/>
  <c r="G124" i="53"/>
  <c r="H124" i="53"/>
  <c r="I124" i="53"/>
  <c r="I130" i="53"/>
  <c r="H10" i="53"/>
  <c r="H63" i="53"/>
  <c r="G10" i="53"/>
  <c r="G63" i="53"/>
  <c r="I131" i="53"/>
  <c r="H11" i="53"/>
  <c r="H64" i="53"/>
  <c r="G11" i="53"/>
  <c r="G64" i="53"/>
  <c r="I132" i="53"/>
  <c r="H12" i="53"/>
  <c r="H65" i="53"/>
  <c r="G12" i="53"/>
  <c r="G65" i="53"/>
  <c r="I133" i="53"/>
  <c r="H13" i="53"/>
  <c r="H66" i="53"/>
  <c r="G13" i="53"/>
  <c r="G66" i="53"/>
  <c r="I134" i="53"/>
  <c r="H14" i="53"/>
  <c r="H67" i="53"/>
  <c r="G14" i="53"/>
  <c r="G67" i="53"/>
  <c r="I135" i="53"/>
  <c r="H15" i="53"/>
  <c r="H68" i="53"/>
  <c r="G15" i="53"/>
  <c r="G68" i="53"/>
  <c r="I136" i="53"/>
  <c r="H16" i="53"/>
  <c r="H69" i="53"/>
  <c r="G16" i="53"/>
  <c r="G69" i="53"/>
  <c r="I137" i="53"/>
  <c r="H18" i="53"/>
  <c r="H71" i="53"/>
  <c r="G18" i="53"/>
  <c r="G71" i="53"/>
  <c r="I139" i="53"/>
  <c r="H19" i="53"/>
  <c r="H72" i="53"/>
  <c r="G19" i="53"/>
  <c r="G72" i="53"/>
  <c r="I140" i="53"/>
  <c r="H20" i="53"/>
  <c r="H73" i="53"/>
  <c r="G20" i="53"/>
  <c r="G73" i="53"/>
  <c r="I141" i="53"/>
  <c r="H21" i="53"/>
  <c r="H74" i="53"/>
  <c r="G21" i="53"/>
  <c r="G74" i="53"/>
  <c r="I142" i="53"/>
  <c r="H22" i="53"/>
  <c r="H75" i="53"/>
  <c r="G22" i="53"/>
  <c r="G75" i="53"/>
  <c r="I143" i="53"/>
  <c r="H23" i="53"/>
  <c r="H76" i="53"/>
  <c r="G23" i="53"/>
  <c r="G76" i="53"/>
  <c r="I144" i="53"/>
  <c r="D30" i="81"/>
  <c r="B107" i="81"/>
  <c r="C107" i="81"/>
  <c r="D107" i="81"/>
  <c r="E107" i="81"/>
  <c r="F107" i="81"/>
  <c r="G107" i="81"/>
  <c r="H24" i="53"/>
  <c r="H77" i="53"/>
  <c r="G24" i="53"/>
  <c r="G77" i="53"/>
  <c r="I145" i="53"/>
  <c r="D31" i="81"/>
  <c r="B108" i="81"/>
  <c r="C108" i="81"/>
  <c r="D108" i="81"/>
  <c r="E108" i="81"/>
  <c r="F108" i="81"/>
  <c r="G108" i="81"/>
  <c r="H25" i="53"/>
  <c r="H78" i="53"/>
  <c r="G25" i="53"/>
  <c r="G78" i="53"/>
  <c r="I146" i="53"/>
  <c r="C32" i="81"/>
  <c r="D34" i="81"/>
  <c r="B110" i="81"/>
  <c r="C110" i="81"/>
  <c r="D110" i="81"/>
  <c r="E110" i="81"/>
  <c r="F110" i="81"/>
  <c r="G110" i="81"/>
  <c r="H27" i="53"/>
  <c r="H80" i="53"/>
  <c r="G27" i="53"/>
  <c r="G80" i="53"/>
  <c r="I148" i="53"/>
  <c r="B111" i="81"/>
  <c r="C111" i="81"/>
  <c r="D111" i="81"/>
  <c r="E111" i="81"/>
  <c r="F111" i="81"/>
  <c r="G111" i="81"/>
  <c r="H28" i="53"/>
  <c r="H81" i="53"/>
  <c r="G28" i="53"/>
  <c r="G81" i="53"/>
  <c r="I149" i="53"/>
  <c r="D36" i="81"/>
  <c r="B112" i="81"/>
  <c r="C112" i="81"/>
  <c r="D112" i="81"/>
  <c r="E112" i="81"/>
  <c r="F112" i="81"/>
  <c r="G112" i="81"/>
  <c r="H29" i="53"/>
  <c r="H82" i="53"/>
  <c r="G29" i="53"/>
  <c r="G82" i="53"/>
  <c r="I150" i="53"/>
  <c r="B113" i="81"/>
  <c r="C113" i="81"/>
  <c r="D113" i="81"/>
  <c r="E113" i="81"/>
  <c r="F113" i="81"/>
  <c r="G113" i="81"/>
  <c r="H30" i="53"/>
  <c r="H83" i="53"/>
  <c r="G30" i="53"/>
  <c r="G83" i="53"/>
  <c r="I151" i="53"/>
  <c r="H31" i="53"/>
  <c r="H84" i="53"/>
  <c r="B7" i="83"/>
  <c r="B9" i="83"/>
  <c r="D14" i="83"/>
  <c r="B102" i="83"/>
  <c r="C100" i="83"/>
  <c r="C102" i="83"/>
  <c r="D100" i="83"/>
  <c r="D102" i="83"/>
  <c r="E100" i="83"/>
  <c r="E102" i="83"/>
  <c r="F100" i="83"/>
  <c r="F102" i="83"/>
  <c r="G100" i="83"/>
  <c r="G102" i="83"/>
  <c r="H33" i="53"/>
  <c r="H86" i="53"/>
  <c r="D15" i="83"/>
  <c r="B103" i="83"/>
  <c r="C103" i="83"/>
  <c r="D103" i="83"/>
  <c r="E103" i="83"/>
  <c r="F103" i="83"/>
  <c r="G103" i="83"/>
  <c r="H34" i="53"/>
  <c r="H87" i="53"/>
  <c r="D16" i="83"/>
  <c r="B104" i="83"/>
  <c r="C104" i="83"/>
  <c r="D104" i="83"/>
  <c r="E104" i="83"/>
  <c r="F104" i="83"/>
  <c r="G104" i="83"/>
  <c r="H35" i="53"/>
  <c r="H88" i="53"/>
  <c r="D17" i="83"/>
  <c r="B105" i="83"/>
  <c r="C105" i="83"/>
  <c r="D105" i="83"/>
  <c r="E105" i="83"/>
  <c r="F105" i="83"/>
  <c r="G105" i="83"/>
  <c r="H36" i="53"/>
  <c r="H89" i="53"/>
  <c r="D18" i="83"/>
  <c r="B106" i="83"/>
  <c r="C106" i="83"/>
  <c r="D106" i="83"/>
  <c r="E106" i="83"/>
  <c r="F106" i="83"/>
  <c r="G106" i="83"/>
  <c r="H37" i="53"/>
  <c r="H90" i="53"/>
  <c r="D19" i="83"/>
  <c r="B107" i="83"/>
  <c r="C107" i="83"/>
  <c r="D107" i="83"/>
  <c r="E107" i="83"/>
  <c r="F107" i="83"/>
  <c r="G107" i="83"/>
  <c r="H38" i="53"/>
  <c r="H91" i="53"/>
  <c r="D20" i="83"/>
  <c r="B108" i="83"/>
  <c r="C108" i="83"/>
  <c r="D108" i="83"/>
  <c r="E108" i="83"/>
  <c r="F108" i="83"/>
  <c r="G108" i="83"/>
  <c r="H39" i="53"/>
  <c r="H92" i="53"/>
  <c r="D21" i="83"/>
  <c r="B109" i="83"/>
  <c r="C109" i="83"/>
  <c r="D109" i="83"/>
  <c r="E109" i="83"/>
  <c r="F109" i="83"/>
  <c r="G109" i="83"/>
  <c r="H40" i="53"/>
  <c r="H93" i="53"/>
  <c r="D22" i="83"/>
  <c r="B110" i="83"/>
  <c r="C110" i="83"/>
  <c r="D110" i="83"/>
  <c r="E110" i="83"/>
  <c r="F110" i="83"/>
  <c r="G110" i="83"/>
  <c r="H41" i="53"/>
  <c r="H94" i="53"/>
  <c r="C23" i="83"/>
  <c r="D24" i="83"/>
  <c r="B111" i="83"/>
  <c r="C111" i="83"/>
  <c r="D111" i="83"/>
  <c r="E111" i="83"/>
  <c r="F111" i="83"/>
  <c r="G111" i="83"/>
  <c r="H42" i="53"/>
  <c r="H95" i="53"/>
  <c r="D25" i="83"/>
  <c r="B112" i="83"/>
  <c r="C112" i="83"/>
  <c r="D112" i="83"/>
  <c r="E112" i="83"/>
  <c r="F112" i="83"/>
  <c r="G112" i="83"/>
  <c r="H43" i="53"/>
  <c r="H96" i="53"/>
  <c r="D26" i="83"/>
  <c r="B113" i="83"/>
  <c r="C113" i="83"/>
  <c r="D113" i="83"/>
  <c r="E113" i="83"/>
  <c r="F113" i="83"/>
  <c r="G113" i="83"/>
  <c r="H44" i="53"/>
  <c r="H97" i="53"/>
  <c r="D27" i="83"/>
  <c r="B114" i="83"/>
  <c r="C114" i="83"/>
  <c r="D114" i="83"/>
  <c r="E114" i="83"/>
  <c r="F114" i="83"/>
  <c r="G114" i="83"/>
  <c r="H45" i="53"/>
  <c r="H98" i="53"/>
  <c r="D28" i="83"/>
  <c r="B115" i="83"/>
  <c r="C115" i="83"/>
  <c r="D115" i="83"/>
  <c r="E115" i="83"/>
  <c r="F115" i="83"/>
  <c r="G115" i="83"/>
  <c r="H46" i="53"/>
  <c r="H99" i="53"/>
  <c r="D29" i="83"/>
  <c r="B116" i="83"/>
  <c r="C116" i="83"/>
  <c r="D116" i="83"/>
  <c r="E116" i="83"/>
  <c r="F116" i="83"/>
  <c r="G116" i="83"/>
  <c r="H47" i="53"/>
  <c r="H100" i="53"/>
  <c r="D30" i="83"/>
  <c r="B117" i="83"/>
  <c r="C117" i="83"/>
  <c r="D117" i="83"/>
  <c r="E117" i="83"/>
  <c r="F117" i="83"/>
  <c r="G117" i="83"/>
  <c r="H48" i="53"/>
  <c r="H101" i="53"/>
  <c r="D31" i="83"/>
  <c r="B118" i="83"/>
  <c r="C118" i="83"/>
  <c r="D118" i="83"/>
  <c r="E118" i="83"/>
  <c r="F118" i="83"/>
  <c r="G118" i="83"/>
  <c r="H49" i="53"/>
  <c r="H102" i="53"/>
  <c r="C32" i="83"/>
  <c r="D33" i="83"/>
  <c r="B119" i="83"/>
  <c r="C119" i="83"/>
  <c r="D119" i="83"/>
  <c r="E119" i="83"/>
  <c r="F119" i="83"/>
  <c r="G119" i="83"/>
  <c r="H50" i="53"/>
  <c r="H103" i="53"/>
  <c r="D34" i="83"/>
  <c r="B120" i="83"/>
  <c r="C120" i="83"/>
  <c r="D120" i="83"/>
  <c r="E120" i="83"/>
  <c r="F120" i="83"/>
  <c r="G120" i="83"/>
  <c r="H51" i="53"/>
  <c r="H104" i="53"/>
  <c r="D35" i="83"/>
  <c r="B121" i="83"/>
  <c r="C121" i="83"/>
  <c r="D121" i="83"/>
  <c r="E121" i="83"/>
  <c r="F121" i="83"/>
  <c r="G121" i="83"/>
  <c r="H52" i="53"/>
  <c r="H105" i="53"/>
  <c r="D36" i="83"/>
  <c r="B122" i="83"/>
  <c r="C122" i="83"/>
  <c r="D122" i="83"/>
  <c r="E122" i="83"/>
  <c r="F122" i="83"/>
  <c r="G122" i="83"/>
  <c r="H53" i="53"/>
  <c r="H106" i="53"/>
  <c r="D37" i="83"/>
  <c r="B123" i="83"/>
  <c r="C123" i="83"/>
  <c r="D123" i="83"/>
  <c r="E123" i="83"/>
  <c r="F123" i="83"/>
  <c r="G123" i="83"/>
  <c r="H54" i="53"/>
  <c r="H107" i="53"/>
  <c r="D38" i="83"/>
  <c r="B124" i="83"/>
  <c r="C124" i="83"/>
  <c r="D124" i="83"/>
  <c r="E124" i="83"/>
  <c r="F124" i="83"/>
  <c r="G124" i="83"/>
  <c r="H55" i="53"/>
  <c r="H108" i="53"/>
  <c r="D39" i="83"/>
  <c r="B125" i="83"/>
  <c r="C125" i="83"/>
  <c r="D125" i="83"/>
  <c r="E125" i="83"/>
  <c r="F125" i="83"/>
  <c r="G125" i="83"/>
  <c r="H56" i="53"/>
  <c r="H109" i="53"/>
  <c r="D40" i="83"/>
  <c r="B126" i="83"/>
  <c r="C126" i="83"/>
  <c r="D126" i="83"/>
  <c r="E126" i="83"/>
  <c r="F126" i="83"/>
  <c r="G126" i="83"/>
  <c r="H57" i="53"/>
  <c r="H110" i="53"/>
  <c r="H114" i="53"/>
  <c r="G9" i="53"/>
  <c r="G62" i="53"/>
  <c r="G31" i="53"/>
  <c r="G84" i="53"/>
  <c r="G33" i="53"/>
  <c r="G86" i="53"/>
  <c r="G34" i="53"/>
  <c r="G87" i="53"/>
  <c r="G35" i="53"/>
  <c r="G88" i="53"/>
  <c r="G36" i="53"/>
  <c r="G89" i="53"/>
  <c r="G37" i="53"/>
  <c r="G90" i="53"/>
  <c r="G38" i="53"/>
  <c r="G91" i="53"/>
  <c r="G39" i="53"/>
  <c r="G92" i="53"/>
  <c r="G40" i="53"/>
  <c r="G93" i="53"/>
  <c r="G41" i="53"/>
  <c r="G94" i="53"/>
  <c r="G42" i="53"/>
  <c r="G95" i="53"/>
  <c r="G43" i="53"/>
  <c r="G96" i="53"/>
  <c r="G44" i="53"/>
  <c r="G97" i="53"/>
  <c r="G45" i="53"/>
  <c r="G98" i="53"/>
  <c r="G46" i="53"/>
  <c r="G99" i="53"/>
  <c r="G47" i="53"/>
  <c r="G100" i="53"/>
  <c r="G48" i="53"/>
  <c r="G101" i="53"/>
  <c r="G49" i="53"/>
  <c r="G102" i="53"/>
  <c r="G50" i="53"/>
  <c r="G103" i="53"/>
  <c r="G51" i="53"/>
  <c r="G104" i="53"/>
  <c r="G52" i="53"/>
  <c r="G105" i="53"/>
  <c r="G53" i="53"/>
  <c r="G106" i="53"/>
  <c r="G54" i="53"/>
  <c r="G107" i="53"/>
  <c r="G55" i="53"/>
  <c r="G108" i="53"/>
  <c r="G56" i="53"/>
  <c r="G109" i="53"/>
  <c r="G57" i="53"/>
  <c r="G110" i="53"/>
  <c r="G114" i="53"/>
  <c r="C182" i="53"/>
  <c r="I182" i="53"/>
  <c r="H115" i="53"/>
  <c r="G115" i="53"/>
  <c r="I183" i="53"/>
  <c r="H116" i="53"/>
  <c r="G116" i="53"/>
  <c r="I184" i="53"/>
  <c r="H118" i="53"/>
  <c r="G118" i="53"/>
  <c r="I187" i="53"/>
  <c r="H119" i="53"/>
  <c r="G119" i="53"/>
  <c r="I188" i="53"/>
  <c r="I152" i="53"/>
  <c r="I154" i="53"/>
  <c r="I155" i="53"/>
  <c r="I156" i="53"/>
  <c r="I157" i="53"/>
  <c r="I158" i="53"/>
  <c r="I159" i="53"/>
  <c r="I160" i="53"/>
  <c r="I161" i="53"/>
  <c r="I162" i="53"/>
  <c r="I163" i="53"/>
  <c r="I164" i="53"/>
  <c r="I165" i="53"/>
  <c r="I166" i="53"/>
  <c r="I167" i="53"/>
  <c r="I168" i="53"/>
  <c r="I169" i="53"/>
  <c r="I170" i="53"/>
  <c r="I171" i="53"/>
  <c r="I172" i="53"/>
  <c r="I173" i="53"/>
  <c r="I174" i="53"/>
  <c r="I175" i="53"/>
  <c r="I176" i="53"/>
  <c r="I177" i="53"/>
  <c r="I178" i="53"/>
  <c r="I191" i="53"/>
  <c r="G12" i="21"/>
  <c r="D18" i="81"/>
  <c r="F18" i="81"/>
  <c r="H18" i="81"/>
  <c r="B46" i="81"/>
  <c r="C40" i="81"/>
  <c r="C46" i="81"/>
  <c r="D40" i="81"/>
  <c r="D46" i="81"/>
  <c r="E40" i="81"/>
  <c r="E46" i="81"/>
  <c r="F40" i="81"/>
  <c r="F46" i="81"/>
  <c r="G40" i="81"/>
  <c r="G46" i="81"/>
  <c r="G15" i="55"/>
  <c r="G63" i="55"/>
  <c r="G72" i="55"/>
  <c r="G124" i="55"/>
  <c r="F15" i="55"/>
  <c r="F63" i="55"/>
  <c r="F72" i="55"/>
  <c r="F124" i="55"/>
  <c r="E172" i="55"/>
  <c r="F172" i="55"/>
  <c r="G172" i="55"/>
  <c r="H172" i="55"/>
  <c r="I172" i="55"/>
  <c r="I182" i="55"/>
  <c r="B51" i="81"/>
  <c r="C51" i="81"/>
  <c r="D51" i="81"/>
  <c r="E51" i="81"/>
  <c r="F51" i="81"/>
  <c r="G51" i="81"/>
  <c r="G20" i="55"/>
  <c r="G77" i="55"/>
  <c r="G129" i="55"/>
  <c r="F20" i="55"/>
  <c r="F77" i="55"/>
  <c r="F129" i="55"/>
  <c r="I187" i="55"/>
  <c r="B52" i="81"/>
  <c r="C52" i="81"/>
  <c r="D52" i="81"/>
  <c r="E52" i="81"/>
  <c r="F52" i="81"/>
  <c r="G52" i="81"/>
  <c r="G21" i="55"/>
  <c r="G78" i="55"/>
  <c r="G130" i="55"/>
  <c r="F21" i="55"/>
  <c r="F78" i="55"/>
  <c r="F130" i="55"/>
  <c r="I188" i="55"/>
  <c r="B42" i="81"/>
  <c r="C42" i="81"/>
  <c r="D42" i="81"/>
  <c r="E42" i="81"/>
  <c r="F42" i="81"/>
  <c r="G42" i="81"/>
  <c r="G11" i="55"/>
  <c r="G68" i="55"/>
  <c r="G120" i="55"/>
  <c r="F11" i="55"/>
  <c r="F68" i="55"/>
  <c r="F120" i="55"/>
  <c r="I178" i="55"/>
  <c r="D15" i="81"/>
  <c r="F15" i="81"/>
  <c r="H15" i="81"/>
  <c r="B43" i="81"/>
  <c r="C43" i="81"/>
  <c r="D43" i="81"/>
  <c r="E43" i="81"/>
  <c r="F43" i="81"/>
  <c r="G43" i="81"/>
  <c r="G12" i="55"/>
  <c r="G69" i="55"/>
  <c r="G121" i="55"/>
  <c r="F12" i="55"/>
  <c r="F69" i="55"/>
  <c r="F121" i="55"/>
  <c r="I179" i="55"/>
  <c r="D16" i="81"/>
  <c r="F16" i="81"/>
  <c r="H16" i="81"/>
  <c r="B44" i="81"/>
  <c r="C44" i="81"/>
  <c r="D44" i="81"/>
  <c r="E44" i="81"/>
  <c r="F44" i="81"/>
  <c r="G44" i="81"/>
  <c r="G13" i="55"/>
  <c r="G70" i="55"/>
  <c r="G122" i="55"/>
  <c r="F13" i="55"/>
  <c r="F70" i="55"/>
  <c r="F122" i="55"/>
  <c r="I180" i="55"/>
  <c r="B45" i="81"/>
  <c r="C45" i="81"/>
  <c r="D45" i="81"/>
  <c r="E45" i="81"/>
  <c r="F45" i="81"/>
  <c r="G45" i="81"/>
  <c r="G14" i="55"/>
  <c r="G71" i="55"/>
  <c r="G123" i="55"/>
  <c r="F14" i="55"/>
  <c r="F71" i="55"/>
  <c r="F123" i="55"/>
  <c r="I181" i="55"/>
  <c r="B47" i="81"/>
  <c r="C47" i="81"/>
  <c r="D47" i="81"/>
  <c r="E47" i="81"/>
  <c r="F47" i="81"/>
  <c r="G47" i="81"/>
  <c r="G16" i="55"/>
  <c r="G73" i="55"/>
  <c r="G125" i="55"/>
  <c r="F16" i="55"/>
  <c r="F73" i="55"/>
  <c r="F125" i="55"/>
  <c r="I183" i="55"/>
  <c r="D20" i="81"/>
  <c r="F20" i="81"/>
  <c r="H20" i="81"/>
  <c r="B48" i="81"/>
  <c r="C48" i="81"/>
  <c r="D48" i="81"/>
  <c r="E48" i="81"/>
  <c r="F48" i="81"/>
  <c r="G48" i="81"/>
  <c r="G17" i="55"/>
  <c r="G74" i="55"/>
  <c r="G126" i="55"/>
  <c r="F17" i="55"/>
  <c r="F74" i="55"/>
  <c r="F126" i="55"/>
  <c r="I184" i="55"/>
  <c r="D21" i="81"/>
  <c r="F21" i="81"/>
  <c r="H21" i="81"/>
  <c r="B49" i="81"/>
  <c r="C49" i="81"/>
  <c r="D49" i="81"/>
  <c r="E49" i="81"/>
  <c r="F49" i="81"/>
  <c r="G49" i="81"/>
  <c r="G18" i="55"/>
  <c r="G75" i="55"/>
  <c r="G127" i="55"/>
  <c r="F18" i="55"/>
  <c r="F75" i="55"/>
  <c r="F127" i="55"/>
  <c r="I185" i="55"/>
  <c r="D22" i="81"/>
  <c r="F22" i="81"/>
  <c r="H22" i="81"/>
  <c r="B50" i="81"/>
  <c r="C50" i="81"/>
  <c r="D50" i="81"/>
  <c r="E50" i="81"/>
  <c r="F50" i="81"/>
  <c r="G50" i="81"/>
  <c r="G19" i="55"/>
  <c r="G76" i="55"/>
  <c r="G128" i="55"/>
  <c r="F19" i="55"/>
  <c r="F76" i="55"/>
  <c r="F128" i="55"/>
  <c r="I186" i="55"/>
  <c r="D26" i="81"/>
  <c r="F26" i="81"/>
  <c r="H26" i="81"/>
  <c r="B53" i="81"/>
  <c r="C53" i="81"/>
  <c r="D53" i="81"/>
  <c r="E53" i="81"/>
  <c r="F53" i="81"/>
  <c r="G53" i="81"/>
  <c r="G22" i="55"/>
  <c r="G79" i="55"/>
  <c r="G131" i="55"/>
  <c r="F22" i="55"/>
  <c r="F79" i="55"/>
  <c r="F131" i="55"/>
  <c r="I189" i="55"/>
  <c r="B54" i="81"/>
  <c r="C54" i="81"/>
  <c r="D54" i="81"/>
  <c r="E54" i="81"/>
  <c r="F54" i="81"/>
  <c r="G54" i="81"/>
  <c r="G23" i="55"/>
  <c r="G80" i="55"/>
  <c r="G132" i="55"/>
  <c r="F23" i="55"/>
  <c r="F80" i="55"/>
  <c r="F132" i="55"/>
  <c r="I190" i="55"/>
  <c r="D28" i="81"/>
  <c r="F28" i="81"/>
  <c r="H28" i="81"/>
  <c r="B55" i="81"/>
  <c r="C55" i="81"/>
  <c r="D55" i="81"/>
  <c r="E55" i="81"/>
  <c r="F55" i="81"/>
  <c r="G55" i="81"/>
  <c r="G24" i="55"/>
  <c r="G81" i="55"/>
  <c r="G133" i="55"/>
  <c r="F24" i="55"/>
  <c r="F81" i="55"/>
  <c r="F133" i="55"/>
  <c r="I191" i="55"/>
  <c r="D29" i="81"/>
  <c r="F29" i="81"/>
  <c r="H29" i="81"/>
  <c r="B56" i="81"/>
  <c r="C56" i="81"/>
  <c r="D56" i="81"/>
  <c r="E56" i="81"/>
  <c r="F56" i="81"/>
  <c r="G56" i="81"/>
  <c r="G25" i="55"/>
  <c r="G82" i="55"/>
  <c r="G134" i="55"/>
  <c r="F25" i="55"/>
  <c r="F82" i="55"/>
  <c r="F134" i="55"/>
  <c r="I192" i="55"/>
  <c r="F30" i="81"/>
  <c r="H30" i="81"/>
  <c r="B57" i="81"/>
  <c r="C57" i="81"/>
  <c r="D57" i="81"/>
  <c r="E57" i="81"/>
  <c r="F57" i="81"/>
  <c r="G57" i="81"/>
  <c r="G26" i="55"/>
  <c r="G83" i="55"/>
  <c r="G135" i="55"/>
  <c r="F26" i="55"/>
  <c r="F83" i="55"/>
  <c r="F135" i="55"/>
  <c r="I193" i="55"/>
  <c r="F31" i="81"/>
  <c r="H31" i="81"/>
  <c r="B58" i="81"/>
  <c r="C58" i="81"/>
  <c r="D58" i="81"/>
  <c r="E58" i="81"/>
  <c r="F58" i="81"/>
  <c r="G58" i="81"/>
  <c r="G27" i="55"/>
  <c r="B63" i="55"/>
  <c r="G84" i="55"/>
  <c r="G136" i="55"/>
  <c r="F27" i="55"/>
  <c r="F84" i="55"/>
  <c r="F136" i="55"/>
  <c r="I194" i="55"/>
  <c r="D33" i="81"/>
  <c r="F33" i="81"/>
  <c r="H33" i="81"/>
  <c r="B59" i="81"/>
  <c r="C59" i="81"/>
  <c r="D59" i="81"/>
  <c r="E59" i="81"/>
  <c r="F59" i="81"/>
  <c r="G59" i="81"/>
  <c r="G28" i="55"/>
  <c r="G85" i="55"/>
  <c r="G137" i="55"/>
  <c r="F28" i="55"/>
  <c r="F85" i="55"/>
  <c r="F137" i="55"/>
  <c r="I195" i="55"/>
  <c r="F34" i="81"/>
  <c r="H34" i="81"/>
  <c r="B60" i="81"/>
  <c r="C60" i="81"/>
  <c r="D60" i="81"/>
  <c r="E60" i="81"/>
  <c r="F60" i="81"/>
  <c r="G60" i="81"/>
  <c r="G29" i="55"/>
  <c r="G86" i="55"/>
  <c r="G138" i="55"/>
  <c r="F29" i="55"/>
  <c r="F86" i="55"/>
  <c r="F138" i="55"/>
  <c r="I196" i="55"/>
  <c r="D35" i="81"/>
  <c r="F35" i="81"/>
  <c r="H35" i="81"/>
  <c r="B61" i="81"/>
  <c r="C61" i="81"/>
  <c r="D61" i="81"/>
  <c r="E61" i="81"/>
  <c r="F61" i="81"/>
  <c r="G61" i="81"/>
  <c r="G30" i="55"/>
  <c r="G87" i="55"/>
  <c r="G139" i="55"/>
  <c r="F30" i="55"/>
  <c r="F87" i="55"/>
  <c r="F139" i="55"/>
  <c r="I197" i="55"/>
  <c r="F36" i="81"/>
  <c r="H36" i="81"/>
  <c r="B62" i="81"/>
  <c r="C62" i="81"/>
  <c r="D62" i="81"/>
  <c r="E62" i="81"/>
  <c r="F62" i="81"/>
  <c r="G62" i="81"/>
  <c r="G31" i="55"/>
  <c r="G88" i="55"/>
  <c r="G140" i="55"/>
  <c r="F31" i="55"/>
  <c r="F88" i="55"/>
  <c r="F140" i="55"/>
  <c r="I198" i="55"/>
  <c r="G32" i="55"/>
  <c r="G89" i="55"/>
  <c r="G141" i="55"/>
  <c r="F32" i="55"/>
  <c r="F89" i="55"/>
  <c r="F141" i="55"/>
  <c r="I199" i="55"/>
  <c r="G33" i="55"/>
  <c r="G65" i="55"/>
  <c r="I200" i="55"/>
  <c r="F14" i="83"/>
  <c r="H14" i="83"/>
  <c r="B46" i="83"/>
  <c r="C44" i="83"/>
  <c r="C46" i="83"/>
  <c r="D44" i="83"/>
  <c r="D46" i="83"/>
  <c r="E44" i="83"/>
  <c r="E46" i="83"/>
  <c r="F44" i="83"/>
  <c r="F46" i="83"/>
  <c r="G44" i="83"/>
  <c r="G46" i="83"/>
  <c r="G35" i="55"/>
  <c r="G92" i="55"/>
  <c r="G144" i="55"/>
  <c r="F35" i="55"/>
  <c r="F92" i="55"/>
  <c r="F144" i="55"/>
  <c r="I203" i="55"/>
  <c r="F15" i="83"/>
  <c r="H15" i="83"/>
  <c r="B47" i="83"/>
  <c r="C47" i="83"/>
  <c r="D47" i="83"/>
  <c r="E47" i="83"/>
  <c r="F47" i="83"/>
  <c r="G47" i="83"/>
  <c r="G36" i="55"/>
  <c r="G93" i="55"/>
  <c r="G145" i="55"/>
  <c r="F36" i="55"/>
  <c r="F93" i="55"/>
  <c r="F145" i="55"/>
  <c r="I204" i="55"/>
  <c r="F16" i="83"/>
  <c r="H16" i="83"/>
  <c r="B48" i="83"/>
  <c r="C48" i="83"/>
  <c r="D48" i="83"/>
  <c r="E48" i="83"/>
  <c r="F48" i="83"/>
  <c r="G48" i="83"/>
  <c r="G37" i="55"/>
  <c r="G94" i="55"/>
  <c r="G146" i="55"/>
  <c r="F37" i="55"/>
  <c r="F94" i="55"/>
  <c r="F146" i="55"/>
  <c r="I205" i="55"/>
  <c r="F17" i="83"/>
  <c r="H17" i="83"/>
  <c r="B49" i="83"/>
  <c r="C49" i="83"/>
  <c r="D49" i="83"/>
  <c r="E49" i="83"/>
  <c r="F49" i="83"/>
  <c r="G49" i="83"/>
  <c r="G38" i="55"/>
  <c r="G95" i="55"/>
  <c r="G147" i="55"/>
  <c r="F38" i="55"/>
  <c r="F95" i="55"/>
  <c r="F147" i="55"/>
  <c r="I206" i="55"/>
  <c r="F18" i="83"/>
  <c r="H18" i="83"/>
  <c r="B50" i="83"/>
  <c r="C50" i="83"/>
  <c r="D50" i="83"/>
  <c r="E50" i="83"/>
  <c r="F50" i="83"/>
  <c r="G50" i="83"/>
  <c r="G39" i="55"/>
  <c r="G96" i="55"/>
  <c r="G148" i="55"/>
  <c r="F39" i="55"/>
  <c r="F96" i="55"/>
  <c r="F148" i="55"/>
  <c r="I207" i="55"/>
  <c r="F19" i="83"/>
  <c r="H19" i="83"/>
  <c r="B51" i="83"/>
  <c r="C51" i="83"/>
  <c r="D51" i="83"/>
  <c r="E51" i="83"/>
  <c r="F51" i="83"/>
  <c r="G51" i="83"/>
  <c r="G40" i="55"/>
  <c r="G97" i="55"/>
  <c r="G149" i="55"/>
  <c r="F40" i="55"/>
  <c r="F97" i="55"/>
  <c r="F149" i="55"/>
  <c r="I208" i="55"/>
  <c r="F20" i="83"/>
  <c r="H20" i="83"/>
  <c r="B52" i="83"/>
  <c r="C52" i="83"/>
  <c r="D52" i="83"/>
  <c r="E52" i="83"/>
  <c r="F52" i="83"/>
  <c r="G52" i="83"/>
  <c r="G41" i="55"/>
  <c r="G98" i="55"/>
  <c r="G150" i="55"/>
  <c r="F41" i="55"/>
  <c r="F98" i="55"/>
  <c r="F150" i="55"/>
  <c r="I209" i="55"/>
  <c r="F21" i="83"/>
  <c r="H21" i="83"/>
  <c r="B53" i="83"/>
  <c r="C53" i="83"/>
  <c r="D53" i="83"/>
  <c r="E53" i="83"/>
  <c r="F53" i="83"/>
  <c r="G53" i="83"/>
  <c r="G42" i="55"/>
  <c r="G99" i="55"/>
  <c r="G151" i="55"/>
  <c r="F42" i="55"/>
  <c r="F99" i="55"/>
  <c r="F151" i="55"/>
  <c r="I210" i="55"/>
  <c r="F22" i="83"/>
  <c r="H22" i="83"/>
  <c r="B54" i="83"/>
  <c r="C54" i="83"/>
  <c r="D54" i="83"/>
  <c r="E54" i="83"/>
  <c r="F54" i="83"/>
  <c r="G54" i="83"/>
  <c r="G43" i="55"/>
  <c r="G100" i="55"/>
  <c r="G152" i="55"/>
  <c r="F43" i="55"/>
  <c r="F100" i="55"/>
  <c r="F152" i="55"/>
  <c r="I211" i="55"/>
  <c r="F24" i="83"/>
  <c r="H24" i="83"/>
  <c r="B55" i="83"/>
  <c r="C55" i="83"/>
  <c r="D55" i="83"/>
  <c r="E55" i="83"/>
  <c r="F55" i="83"/>
  <c r="G55" i="83"/>
  <c r="G44" i="55"/>
  <c r="G101" i="55"/>
  <c r="G153" i="55"/>
  <c r="F44" i="55"/>
  <c r="F101" i="55"/>
  <c r="F153" i="55"/>
  <c r="I212" i="55"/>
  <c r="F25" i="83"/>
  <c r="H25" i="83"/>
  <c r="B56" i="83"/>
  <c r="C56" i="83"/>
  <c r="D56" i="83"/>
  <c r="E56" i="83"/>
  <c r="F56" i="83"/>
  <c r="G56" i="83"/>
  <c r="G45" i="55"/>
  <c r="G102" i="55"/>
  <c r="G154" i="55"/>
  <c r="F45" i="55"/>
  <c r="F102" i="55"/>
  <c r="F154" i="55"/>
  <c r="I213" i="55"/>
  <c r="F26" i="83"/>
  <c r="H26" i="83"/>
  <c r="B57" i="83"/>
  <c r="C57" i="83"/>
  <c r="D57" i="83"/>
  <c r="E57" i="83"/>
  <c r="F57" i="83"/>
  <c r="G57" i="83"/>
  <c r="G46" i="55"/>
  <c r="G103" i="55"/>
  <c r="G155" i="55"/>
  <c r="F46" i="55"/>
  <c r="F103" i="55"/>
  <c r="F155" i="55"/>
  <c r="I214" i="55"/>
  <c r="F27" i="83"/>
  <c r="H27" i="83"/>
  <c r="B58" i="83"/>
  <c r="C58" i="83"/>
  <c r="D58" i="83"/>
  <c r="E58" i="83"/>
  <c r="F58" i="83"/>
  <c r="G58" i="83"/>
  <c r="G47" i="55"/>
  <c r="G104" i="55"/>
  <c r="G156" i="55"/>
  <c r="F47" i="55"/>
  <c r="F104" i="55"/>
  <c r="F156" i="55"/>
  <c r="I215" i="55"/>
  <c r="F28" i="83"/>
  <c r="H28" i="83"/>
  <c r="B59" i="83"/>
  <c r="C59" i="83"/>
  <c r="D59" i="83"/>
  <c r="E59" i="83"/>
  <c r="F59" i="83"/>
  <c r="G59" i="83"/>
  <c r="G48" i="55"/>
  <c r="G105" i="55"/>
  <c r="G157" i="55"/>
  <c r="F48" i="55"/>
  <c r="F105" i="55"/>
  <c r="F157" i="55"/>
  <c r="I216" i="55"/>
  <c r="F29" i="83"/>
  <c r="H29" i="83"/>
  <c r="B60" i="83"/>
  <c r="C60" i="83"/>
  <c r="D60" i="83"/>
  <c r="E60" i="83"/>
  <c r="F60" i="83"/>
  <c r="G60" i="83"/>
  <c r="G49" i="55"/>
  <c r="G106" i="55"/>
  <c r="G158" i="55"/>
  <c r="F49" i="55"/>
  <c r="F106" i="55"/>
  <c r="F158" i="55"/>
  <c r="I217" i="55"/>
  <c r="F30" i="83"/>
  <c r="H30" i="83"/>
  <c r="B61" i="83"/>
  <c r="C61" i="83"/>
  <c r="D61" i="83"/>
  <c r="E61" i="83"/>
  <c r="F61" i="83"/>
  <c r="G61" i="83"/>
  <c r="G50" i="55"/>
  <c r="G107" i="55"/>
  <c r="G159" i="55"/>
  <c r="F50" i="55"/>
  <c r="F107" i="55"/>
  <c r="F159" i="55"/>
  <c r="I218" i="55"/>
  <c r="F31" i="83"/>
  <c r="H31" i="83"/>
  <c r="B62" i="83"/>
  <c r="C62" i="83"/>
  <c r="D62" i="83"/>
  <c r="E62" i="83"/>
  <c r="F62" i="83"/>
  <c r="G62" i="83"/>
  <c r="G51" i="55"/>
  <c r="G108" i="55"/>
  <c r="G160" i="55"/>
  <c r="F51" i="55"/>
  <c r="F108" i="55"/>
  <c r="F160" i="55"/>
  <c r="I219" i="55"/>
  <c r="F33" i="83"/>
  <c r="H33" i="83"/>
  <c r="B63" i="83"/>
  <c r="C63" i="83"/>
  <c r="D63" i="83"/>
  <c r="E63" i="83"/>
  <c r="F63" i="83"/>
  <c r="G63" i="83"/>
  <c r="G52" i="55"/>
  <c r="G109" i="55"/>
  <c r="G161" i="55"/>
  <c r="F52" i="55"/>
  <c r="F109" i="55"/>
  <c r="F161" i="55"/>
  <c r="I220" i="55"/>
  <c r="G162" i="55"/>
  <c r="F162" i="55"/>
  <c r="I221" i="55"/>
  <c r="G163" i="55"/>
  <c r="F163" i="55"/>
  <c r="I222" i="55"/>
  <c r="G164" i="55"/>
  <c r="F164" i="55"/>
  <c r="I223" i="55"/>
  <c r="F37" i="83"/>
  <c r="H37" i="83"/>
  <c r="B67" i="83"/>
  <c r="C67" i="83"/>
  <c r="D67" i="83"/>
  <c r="E67" i="83"/>
  <c r="F67" i="83"/>
  <c r="G67" i="83"/>
  <c r="G56" i="55"/>
  <c r="G113" i="55"/>
  <c r="G165" i="55"/>
  <c r="F56" i="55"/>
  <c r="F113" i="55"/>
  <c r="F165" i="55"/>
  <c r="I224" i="55"/>
  <c r="F38" i="83"/>
  <c r="H38" i="83"/>
  <c r="B68" i="83"/>
  <c r="C68" i="83"/>
  <c r="D68" i="83"/>
  <c r="E68" i="83"/>
  <c r="F68" i="83"/>
  <c r="G68" i="83"/>
  <c r="G57" i="55"/>
  <c r="G114" i="55"/>
  <c r="G166" i="55"/>
  <c r="F57" i="55"/>
  <c r="F114" i="55"/>
  <c r="F166" i="55"/>
  <c r="I225" i="55"/>
  <c r="F39" i="83"/>
  <c r="H39" i="83"/>
  <c r="B69" i="83"/>
  <c r="C69" i="83"/>
  <c r="D69" i="83"/>
  <c r="E69" i="83"/>
  <c r="F69" i="83"/>
  <c r="G69" i="83"/>
  <c r="G58" i="55"/>
  <c r="G115" i="55"/>
  <c r="G167" i="55"/>
  <c r="F58" i="55"/>
  <c r="F115" i="55"/>
  <c r="F167" i="55"/>
  <c r="I226" i="55"/>
  <c r="F40" i="83"/>
  <c r="H40" i="83"/>
  <c r="B70" i="83"/>
  <c r="C70" i="83"/>
  <c r="D70" i="83"/>
  <c r="E70" i="83"/>
  <c r="F70" i="83"/>
  <c r="G70" i="83"/>
  <c r="G59" i="55"/>
  <c r="G116" i="55"/>
  <c r="G168" i="55"/>
  <c r="F59" i="55"/>
  <c r="F116" i="55"/>
  <c r="F168" i="55"/>
  <c r="I227" i="55"/>
  <c r="I229" i="55"/>
  <c r="G8" i="21"/>
  <c r="E136" i="72"/>
  <c r="F136" i="72"/>
  <c r="G136" i="72"/>
  <c r="H136" i="72"/>
  <c r="I136" i="72"/>
  <c r="C65" i="81"/>
  <c r="D65" i="81"/>
  <c r="E65" i="81"/>
  <c r="F65" i="81"/>
  <c r="G65" i="81"/>
  <c r="C33" i="72"/>
  <c r="D33" i="72"/>
  <c r="E33" i="72"/>
  <c r="F33" i="72"/>
  <c r="G33" i="72"/>
  <c r="G34" i="72"/>
  <c r="F34" i="72"/>
  <c r="B68" i="81"/>
  <c r="C68" i="81"/>
  <c r="D68" i="81"/>
  <c r="E68" i="81"/>
  <c r="F68" i="81"/>
  <c r="G68" i="81"/>
  <c r="G14" i="72"/>
  <c r="G38" i="72"/>
  <c r="G64" i="72"/>
  <c r="F14" i="72"/>
  <c r="F38" i="72"/>
  <c r="F64" i="72"/>
  <c r="B69" i="81"/>
  <c r="C69" i="81"/>
  <c r="D69" i="81"/>
  <c r="E69" i="81"/>
  <c r="F69" i="81"/>
  <c r="G69" i="81"/>
  <c r="G15" i="72"/>
  <c r="B71" i="81"/>
  <c r="C71" i="81"/>
  <c r="D71" i="81"/>
  <c r="E71" i="81"/>
  <c r="F71" i="81"/>
  <c r="G71" i="81"/>
  <c r="G17" i="72"/>
  <c r="B73" i="81"/>
  <c r="C73" i="81"/>
  <c r="D73" i="81"/>
  <c r="E73" i="81"/>
  <c r="F73" i="81"/>
  <c r="G73" i="81"/>
  <c r="G19" i="72"/>
  <c r="B74" i="81"/>
  <c r="C74" i="81"/>
  <c r="D74" i="81"/>
  <c r="E74" i="81"/>
  <c r="F74" i="81"/>
  <c r="G74" i="81"/>
  <c r="G20" i="72"/>
  <c r="B75" i="81"/>
  <c r="C75" i="81"/>
  <c r="D75" i="81"/>
  <c r="E75" i="81"/>
  <c r="F75" i="81"/>
  <c r="G75" i="81"/>
  <c r="G21" i="72"/>
  <c r="B78" i="81"/>
  <c r="C78" i="81"/>
  <c r="D78" i="81"/>
  <c r="E78" i="81"/>
  <c r="F78" i="81"/>
  <c r="G78" i="81"/>
  <c r="G24" i="72"/>
  <c r="B80" i="81"/>
  <c r="C80" i="81"/>
  <c r="D80" i="81"/>
  <c r="E80" i="81"/>
  <c r="F80" i="81"/>
  <c r="G80" i="81"/>
  <c r="G26" i="72"/>
  <c r="B81" i="81"/>
  <c r="C81" i="81"/>
  <c r="D81" i="81"/>
  <c r="E81" i="81"/>
  <c r="F81" i="81"/>
  <c r="G81" i="81"/>
  <c r="G27" i="72"/>
  <c r="B82" i="81"/>
  <c r="C82" i="81"/>
  <c r="D82" i="81"/>
  <c r="E82" i="81"/>
  <c r="F82" i="81"/>
  <c r="G82" i="81"/>
  <c r="G28" i="72"/>
  <c r="B83" i="81"/>
  <c r="C83" i="81"/>
  <c r="D83" i="81"/>
  <c r="E83" i="81"/>
  <c r="F83" i="81"/>
  <c r="G83" i="81"/>
  <c r="G29" i="72"/>
  <c r="B84" i="81"/>
  <c r="C84" i="81"/>
  <c r="D84" i="81"/>
  <c r="E84" i="81"/>
  <c r="F84" i="81"/>
  <c r="G84" i="81"/>
  <c r="G30" i="72"/>
  <c r="B85" i="81"/>
  <c r="C85" i="81"/>
  <c r="D85" i="81"/>
  <c r="E85" i="81"/>
  <c r="F85" i="81"/>
  <c r="G85" i="81"/>
  <c r="G31" i="72"/>
  <c r="G32" i="72"/>
  <c r="G35" i="72"/>
  <c r="I153" i="72"/>
  <c r="I155" i="72"/>
  <c r="G9" i="21"/>
  <c r="C9" i="42"/>
  <c r="D9" i="42"/>
  <c r="E9" i="42"/>
  <c r="F9" i="42"/>
  <c r="G9" i="42"/>
  <c r="G10" i="42"/>
  <c r="E17" i="42"/>
  <c r="F17" i="42"/>
  <c r="G17" i="42"/>
  <c r="H17" i="42"/>
  <c r="I17" i="42"/>
  <c r="I21" i="42"/>
  <c r="I23" i="42"/>
  <c r="G10" i="21"/>
  <c r="B95" i="83"/>
  <c r="C72" i="83"/>
  <c r="C95" i="83"/>
  <c r="D72" i="83"/>
  <c r="D95" i="83"/>
  <c r="E72" i="83"/>
  <c r="E95" i="83"/>
  <c r="F72" i="83"/>
  <c r="F95" i="83"/>
  <c r="G72" i="83"/>
  <c r="G95" i="83"/>
  <c r="G34" i="84"/>
  <c r="B41" i="84"/>
  <c r="G62" i="84"/>
  <c r="G124" i="84"/>
  <c r="G141" i="84"/>
  <c r="F34" i="84"/>
  <c r="F62" i="84"/>
  <c r="F124" i="84"/>
  <c r="F141" i="84"/>
  <c r="E149" i="84"/>
  <c r="F149" i="84"/>
  <c r="G149" i="84"/>
  <c r="H149" i="84"/>
  <c r="I149" i="84"/>
  <c r="I154" i="84"/>
  <c r="G125" i="84"/>
  <c r="G142" i="84"/>
  <c r="F125" i="84"/>
  <c r="F142" i="84"/>
  <c r="I155" i="84"/>
  <c r="G126" i="84"/>
  <c r="G143" i="84"/>
  <c r="F126" i="84"/>
  <c r="F143" i="84"/>
  <c r="I156" i="84"/>
  <c r="I159" i="84"/>
  <c r="G13" i="21"/>
  <c r="G15" i="21"/>
  <c r="J14" i="48"/>
  <c r="J15" i="48"/>
  <c r="J16" i="48"/>
  <c r="J17" i="48"/>
  <c r="C43" i="48"/>
  <c r="J43" i="48"/>
  <c r="M14" i="48"/>
  <c r="M15" i="48"/>
  <c r="M16" i="48"/>
  <c r="M17" i="48"/>
  <c r="C44" i="48"/>
  <c r="J44" i="48"/>
  <c r="J49" i="48"/>
  <c r="G21" i="21"/>
  <c r="I197" i="53"/>
  <c r="I198" i="53"/>
  <c r="I199" i="53"/>
  <c r="I200" i="53"/>
  <c r="I201" i="53"/>
  <c r="I202" i="53"/>
  <c r="I203" i="53"/>
  <c r="I204" i="53"/>
  <c r="I206" i="53"/>
  <c r="I207" i="53"/>
  <c r="I208" i="53"/>
  <c r="I209" i="53"/>
  <c r="I210" i="53"/>
  <c r="I211" i="53"/>
  <c r="I212" i="53"/>
  <c r="I213" i="53"/>
  <c r="I215" i="53"/>
  <c r="I216" i="53"/>
  <c r="I217" i="53"/>
  <c r="I218" i="53"/>
  <c r="I245" i="53"/>
  <c r="I246" i="53"/>
  <c r="I247" i="53"/>
  <c r="I250" i="53"/>
  <c r="I251" i="53"/>
  <c r="I253" i="53"/>
  <c r="I254" i="53"/>
  <c r="H197" i="53"/>
  <c r="H198" i="53"/>
  <c r="H199" i="53"/>
  <c r="H200" i="53"/>
  <c r="H201" i="53"/>
  <c r="H202" i="53"/>
  <c r="H203" i="53"/>
  <c r="H204" i="53"/>
  <c r="H206" i="53"/>
  <c r="H207" i="53"/>
  <c r="H208" i="53"/>
  <c r="H209" i="53"/>
  <c r="H210" i="53"/>
  <c r="H211" i="53"/>
  <c r="H212" i="53"/>
  <c r="H213" i="53"/>
  <c r="H215" i="53"/>
  <c r="H216" i="53"/>
  <c r="H217" i="53"/>
  <c r="H218" i="53"/>
  <c r="H245" i="53"/>
  <c r="H246" i="53"/>
  <c r="H247" i="53"/>
  <c r="H250" i="53"/>
  <c r="H251" i="53"/>
  <c r="H205" i="53"/>
  <c r="H214" i="53"/>
  <c r="H219" i="53"/>
  <c r="H221" i="53"/>
  <c r="H222" i="53"/>
  <c r="H223" i="53"/>
  <c r="H224" i="53"/>
  <c r="H225" i="53"/>
  <c r="H226" i="53"/>
  <c r="H227" i="53"/>
  <c r="H228" i="53"/>
  <c r="H229" i="53"/>
  <c r="H230" i="53"/>
  <c r="H231" i="53"/>
  <c r="H232" i="53"/>
  <c r="H233" i="53"/>
  <c r="H234" i="53"/>
  <c r="H235" i="53"/>
  <c r="H236" i="53"/>
  <c r="H237" i="53"/>
  <c r="H238" i="53"/>
  <c r="H239" i="53"/>
  <c r="H240" i="53"/>
  <c r="H241" i="53"/>
  <c r="H242" i="53"/>
  <c r="H243" i="53"/>
  <c r="I15" i="61"/>
  <c r="J6" i="61"/>
  <c r="I259" i="53"/>
  <c r="I205" i="53"/>
  <c r="I214" i="53"/>
  <c r="I219" i="53"/>
  <c r="I221" i="53"/>
  <c r="I222" i="53"/>
  <c r="I223" i="53"/>
  <c r="I224" i="53"/>
  <c r="I225" i="53"/>
  <c r="I226" i="53"/>
  <c r="I227" i="53"/>
  <c r="I228" i="53"/>
  <c r="I229" i="53"/>
  <c r="I230" i="53"/>
  <c r="I231" i="53"/>
  <c r="I232" i="53"/>
  <c r="I233" i="53"/>
  <c r="I234" i="53"/>
  <c r="I235" i="53"/>
  <c r="I236" i="53"/>
  <c r="I237" i="53"/>
  <c r="I238" i="53"/>
  <c r="I239" i="53"/>
  <c r="I240" i="53"/>
  <c r="I241" i="53"/>
  <c r="I242" i="53"/>
  <c r="I243" i="53"/>
  <c r="J15" i="61"/>
  <c r="I260" i="53"/>
  <c r="I262" i="53"/>
  <c r="G22" i="21"/>
  <c r="I233" i="55"/>
  <c r="H233" i="55"/>
  <c r="H234" i="55"/>
  <c r="H235" i="55"/>
  <c r="H236" i="55"/>
  <c r="H237" i="55"/>
  <c r="H238" i="55"/>
  <c r="H239" i="55"/>
  <c r="H240" i="55"/>
  <c r="H241" i="55"/>
  <c r="H242" i="55"/>
  <c r="H243" i="55"/>
  <c r="H244" i="55"/>
  <c r="H245" i="55"/>
  <c r="H246" i="55"/>
  <c r="H247" i="55"/>
  <c r="H248" i="55"/>
  <c r="H249" i="55"/>
  <c r="H250" i="55"/>
  <c r="H251" i="55"/>
  <c r="H252" i="55"/>
  <c r="H253" i="55"/>
  <c r="H254" i="55"/>
  <c r="H255" i="55"/>
  <c r="H257" i="55"/>
  <c r="H258" i="55"/>
  <c r="H259" i="55"/>
  <c r="H260" i="55"/>
  <c r="H261" i="55"/>
  <c r="H262" i="55"/>
  <c r="H263" i="55"/>
  <c r="H264" i="55"/>
  <c r="H265" i="55"/>
  <c r="H266" i="55"/>
  <c r="H267" i="55"/>
  <c r="H268" i="55"/>
  <c r="H269" i="55"/>
  <c r="H270" i="55"/>
  <c r="H271" i="55"/>
  <c r="H272" i="55"/>
  <c r="H273" i="55"/>
  <c r="H274" i="55"/>
  <c r="H275" i="55"/>
  <c r="H276" i="55"/>
  <c r="H277" i="55"/>
  <c r="H278" i="55"/>
  <c r="H279" i="55"/>
  <c r="H280" i="55"/>
  <c r="F33" i="55"/>
  <c r="B5" i="55"/>
  <c r="F10" i="55"/>
  <c r="H282" i="55"/>
  <c r="H54" i="57"/>
  <c r="B283" i="55"/>
  <c r="H283" i="55"/>
  <c r="H284" i="55"/>
  <c r="I16" i="61"/>
  <c r="J7" i="61"/>
  <c r="I289" i="55"/>
  <c r="I234" i="55"/>
  <c r="I235" i="55"/>
  <c r="I236" i="55"/>
  <c r="I237" i="55"/>
  <c r="I238" i="55"/>
  <c r="I239" i="55"/>
  <c r="I240" i="55"/>
  <c r="I241" i="55"/>
  <c r="I242" i="55"/>
  <c r="I243" i="55"/>
  <c r="I244" i="55"/>
  <c r="I245" i="55"/>
  <c r="I246" i="55"/>
  <c r="I247" i="55"/>
  <c r="I248" i="55"/>
  <c r="I249" i="55"/>
  <c r="I250" i="55"/>
  <c r="I251" i="55"/>
  <c r="I252" i="55"/>
  <c r="I253" i="55"/>
  <c r="I254" i="55"/>
  <c r="I255" i="55"/>
  <c r="I257" i="55"/>
  <c r="I258" i="55"/>
  <c r="I259" i="55"/>
  <c r="I260" i="55"/>
  <c r="I261" i="55"/>
  <c r="I262" i="55"/>
  <c r="I263" i="55"/>
  <c r="I264" i="55"/>
  <c r="I265" i="55"/>
  <c r="I266" i="55"/>
  <c r="I267" i="55"/>
  <c r="I268" i="55"/>
  <c r="I269" i="55"/>
  <c r="I270" i="55"/>
  <c r="I271" i="55"/>
  <c r="I272" i="55"/>
  <c r="I273" i="55"/>
  <c r="I274" i="55"/>
  <c r="I275" i="55"/>
  <c r="I276" i="55"/>
  <c r="I277" i="55"/>
  <c r="I278" i="55"/>
  <c r="I279" i="55"/>
  <c r="I280" i="55"/>
  <c r="G10" i="55"/>
  <c r="I282" i="55"/>
  <c r="I283" i="55"/>
  <c r="I284" i="55"/>
  <c r="J16" i="61"/>
  <c r="I290" i="55"/>
  <c r="I285" i="55"/>
  <c r="I292" i="55"/>
  <c r="G18" i="21"/>
  <c r="I29" i="42"/>
  <c r="I27" i="42"/>
  <c r="I28" i="42"/>
  <c r="I34" i="42"/>
  <c r="G20" i="21"/>
  <c r="H46" i="57"/>
  <c r="B171" i="72"/>
  <c r="G12" i="72"/>
  <c r="I171" i="72"/>
  <c r="F15" i="72"/>
  <c r="F17" i="72"/>
  <c r="F19" i="72"/>
  <c r="F20" i="72"/>
  <c r="F21" i="72"/>
  <c r="F24" i="72"/>
  <c r="F26" i="72"/>
  <c r="F27" i="72"/>
  <c r="F28" i="72"/>
  <c r="F29" i="72"/>
  <c r="F30" i="72"/>
  <c r="F31" i="72"/>
  <c r="F32" i="72"/>
  <c r="F12" i="72"/>
  <c r="H171" i="72"/>
  <c r="H159" i="72"/>
  <c r="H160" i="72"/>
  <c r="H161" i="72"/>
  <c r="H162" i="72"/>
  <c r="H169" i="72"/>
  <c r="H170" i="72"/>
  <c r="F35" i="72"/>
  <c r="H172" i="72"/>
  <c r="H173" i="72"/>
  <c r="I17" i="61"/>
  <c r="J8" i="61"/>
  <c r="I179" i="72"/>
  <c r="I159" i="72"/>
  <c r="I160" i="72"/>
  <c r="I161" i="72"/>
  <c r="I162" i="72"/>
  <c r="I169" i="72"/>
  <c r="I170" i="72"/>
  <c r="I172" i="72"/>
  <c r="I173" i="72"/>
  <c r="J17" i="61"/>
  <c r="I180" i="72"/>
  <c r="I174" i="72"/>
  <c r="I182" i="72"/>
  <c r="G19" i="21"/>
  <c r="H60" i="57"/>
  <c r="B166" i="84"/>
  <c r="K12" i="83"/>
  <c r="L12" i="83"/>
  <c r="M12" i="83"/>
  <c r="M14" i="83"/>
  <c r="G74" i="83"/>
  <c r="G13" i="84"/>
  <c r="B75" i="83"/>
  <c r="C75" i="83"/>
  <c r="D75" i="83"/>
  <c r="E75" i="83"/>
  <c r="F75" i="83"/>
  <c r="G75" i="83"/>
  <c r="G14" i="84"/>
  <c r="B76" i="83"/>
  <c r="C76" i="83"/>
  <c r="D76" i="83"/>
  <c r="E76" i="83"/>
  <c r="F76" i="83"/>
  <c r="G76" i="83"/>
  <c r="G15" i="84"/>
  <c r="B77" i="83"/>
  <c r="C77" i="83"/>
  <c r="D77" i="83"/>
  <c r="E77" i="83"/>
  <c r="F77" i="83"/>
  <c r="G77" i="83"/>
  <c r="G16" i="84"/>
  <c r="B78" i="83"/>
  <c r="C78" i="83"/>
  <c r="D78" i="83"/>
  <c r="E78" i="83"/>
  <c r="F78" i="83"/>
  <c r="G78" i="83"/>
  <c r="G17" i="84"/>
  <c r="B79" i="83"/>
  <c r="C79" i="83"/>
  <c r="D79" i="83"/>
  <c r="E79" i="83"/>
  <c r="F79" i="83"/>
  <c r="G79" i="83"/>
  <c r="G18" i="84"/>
  <c r="B80" i="83"/>
  <c r="C80" i="83"/>
  <c r="D80" i="83"/>
  <c r="E80" i="83"/>
  <c r="F80" i="83"/>
  <c r="G80" i="83"/>
  <c r="G19" i="84"/>
  <c r="B81" i="83"/>
  <c r="C81" i="83"/>
  <c r="D81" i="83"/>
  <c r="E81" i="83"/>
  <c r="F81" i="83"/>
  <c r="G81" i="83"/>
  <c r="G20" i="84"/>
  <c r="B82" i="83"/>
  <c r="C82" i="83"/>
  <c r="D82" i="83"/>
  <c r="E82" i="83"/>
  <c r="F82" i="83"/>
  <c r="G82" i="83"/>
  <c r="G21" i="84"/>
  <c r="B83" i="83"/>
  <c r="C83" i="83"/>
  <c r="D83" i="83"/>
  <c r="E83" i="83"/>
  <c r="F83" i="83"/>
  <c r="G83" i="83"/>
  <c r="G22" i="84"/>
  <c r="B84" i="83"/>
  <c r="C84" i="83"/>
  <c r="D84" i="83"/>
  <c r="E84" i="83"/>
  <c r="F84" i="83"/>
  <c r="G84" i="83"/>
  <c r="G23" i="84"/>
  <c r="B85" i="83"/>
  <c r="C85" i="83"/>
  <c r="D85" i="83"/>
  <c r="E85" i="83"/>
  <c r="F85" i="83"/>
  <c r="G85" i="83"/>
  <c r="G24" i="84"/>
  <c r="B86" i="83"/>
  <c r="C86" i="83"/>
  <c r="D86" i="83"/>
  <c r="E86" i="83"/>
  <c r="F86" i="83"/>
  <c r="G86" i="83"/>
  <c r="G25" i="84"/>
  <c r="B87" i="83"/>
  <c r="C87" i="83"/>
  <c r="D87" i="83"/>
  <c r="E87" i="83"/>
  <c r="F87" i="83"/>
  <c r="G87" i="83"/>
  <c r="G26" i="84"/>
  <c r="B88" i="83"/>
  <c r="C88" i="83"/>
  <c r="D88" i="83"/>
  <c r="E88" i="83"/>
  <c r="F88" i="83"/>
  <c r="G88" i="83"/>
  <c r="G27" i="84"/>
  <c r="B89" i="83"/>
  <c r="C89" i="83"/>
  <c r="D89" i="83"/>
  <c r="E89" i="83"/>
  <c r="F89" i="83"/>
  <c r="G89" i="83"/>
  <c r="G28" i="84"/>
  <c r="B90" i="83"/>
  <c r="C90" i="83"/>
  <c r="D90" i="83"/>
  <c r="E90" i="83"/>
  <c r="F90" i="83"/>
  <c r="G90" i="83"/>
  <c r="G29" i="84"/>
  <c r="B91" i="83"/>
  <c r="C91" i="83"/>
  <c r="D91" i="83"/>
  <c r="E91" i="83"/>
  <c r="F91" i="83"/>
  <c r="G91" i="83"/>
  <c r="G30" i="84"/>
  <c r="F34" i="83"/>
  <c r="H34" i="83"/>
  <c r="B92" i="83"/>
  <c r="C92" i="83"/>
  <c r="D92" i="83"/>
  <c r="E92" i="83"/>
  <c r="F92" i="83"/>
  <c r="G92" i="83"/>
  <c r="G31" i="84"/>
  <c r="F35" i="83"/>
  <c r="H35" i="83"/>
  <c r="B93" i="83"/>
  <c r="C93" i="83"/>
  <c r="D93" i="83"/>
  <c r="E93" i="83"/>
  <c r="F93" i="83"/>
  <c r="G93" i="83"/>
  <c r="G32" i="84"/>
  <c r="F36" i="83"/>
  <c r="H36" i="83"/>
  <c r="B94" i="83"/>
  <c r="C94" i="83"/>
  <c r="D94" i="83"/>
  <c r="E94" i="83"/>
  <c r="F94" i="83"/>
  <c r="G94" i="83"/>
  <c r="G33" i="84"/>
  <c r="B96" i="83"/>
  <c r="C96" i="83"/>
  <c r="D96" i="83"/>
  <c r="E96" i="83"/>
  <c r="F96" i="83"/>
  <c r="G96" i="83"/>
  <c r="G35" i="84"/>
  <c r="B97" i="83"/>
  <c r="C97" i="83"/>
  <c r="D97" i="83"/>
  <c r="E97" i="83"/>
  <c r="F97" i="83"/>
  <c r="G97" i="83"/>
  <c r="G36" i="84"/>
  <c r="B98" i="83"/>
  <c r="C98" i="83"/>
  <c r="D98" i="83"/>
  <c r="E98" i="83"/>
  <c r="F98" i="83"/>
  <c r="G98" i="83"/>
  <c r="G37" i="84"/>
  <c r="G39" i="84"/>
  <c r="G12" i="84"/>
  <c r="I166" i="84"/>
  <c r="I163" i="84"/>
  <c r="I164" i="84"/>
  <c r="I165" i="84"/>
  <c r="I167" i="84"/>
  <c r="I168" i="84"/>
  <c r="I169" i="84"/>
  <c r="I177" i="84"/>
  <c r="G23" i="21"/>
  <c r="G25" i="21"/>
  <c r="J52" i="48"/>
  <c r="J56" i="48"/>
  <c r="G31" i="21"/>
  <c r="I265" i="53"/>
  <c r="I266" i="53"/>
  <c r="I267" i="53"/>
  <c r="I268" i="53"/>
  <c r="I273" i="53"/>
  <c r="G32" i="21"/>
  <c r="I294" i="55"/>
  <c r="I301" i="55"/>
  <c r="G28" i="21"/>
  <c r="F4" i="22"/>
  <c r="G4" i="22"/>
  <c r="H4" i="22"/>
  <c r="I4" i="22"/>
  <c r="J4" i="22"/>
  <c r="J8" i="22"/>
  <c r="J9" i="22"/>
  <c r="J10" i="22"/>
  <c r="J11" i="22"/>
  <c r="J12" i="22"/>
  <c r="J13" i="22"/>
  <c r="J14" i="22"/>
  <c r="J15" i="22"/>
  <c r="J16" i="22"/>
  <c r="J17" i="22"/>
  <c r="J18" i="22"/>
  <c r="J19" i="22"/>
  <c r="J20" i="22"/>
  <c r="J21" i="22"/>
  <c r="J22" i="22"/>
  <c r="J23" i="22"/>
  <c r="J24" i="22"/>
  <c r="G35" i="21"/>
  <c r="I185" i="72"/>
  <c r="I190" i="72"/>
  <c r="G29" i="21"/>
  <c r="I37" i="42"/>
  <c r="I43" i="42"/>
  <c r="G30" i="21"/>
  <c r="I180" i="84"/>
  <c r="I181" i="84"/>
  <c r="I185" i="84"/>
  <c r="G33" i="21"/>
  <c r="G36" i="21"/>
  <c r="G38" i="21"/>
  <c r="G40" i="21"/>
  <c r="G58" i="57"/>
  <c r="G56" i="57"/>
  <c r="G57" i="57"/>
  <c r="G59" i="57"/>
  <c r="G60" i="57"/>
  <c r="G35" i="57"/>
  <c r="G38" i="57"/>
  <c r="G33" i="57"/>
  <c r="G34" i="57"/>
  <c r="G36" i="57"/>
  <c r="G37" i="57"/>
  <c r="G39" i="57"/>
  <c r="G40" i="57"/>
  <c r="G41" i="57"/>
  <c r="G42" i="57"/>
  <c r="G43" i="57"/>
  <c r="G44" i="57"/>
  <c r="G45" i="57"/>
  <c r="G46" i="57"/>
  <c r="G48" i="57"/>
  <c r="G49" i="57"/>
  <c r="G50" i="57"/>
  <c r="G51" i="57"/>
  <c r="G52" i="57"/>
  <c r="G53" i="57"/>
  <c r="G54" i="57"/>
  <c r="G20" i="57"/>
  <c r="G21" i="57"/>
  <c r="G22" i="57"/>
  <c r="G28" i="57"/>
  <c r="G29" i="57"/>
  <c r="G30" i="57"/>
  <c r="G31" i="57"/>
  <c r="G62" i="57"/>
  <c r="D6" i="62"/>
  <c r="C44" i="22"/>
  <c r="H45" i="22"/>
  <c r="F71" i="57"/>
  <c r="F72" i="57"/>
  <c r="F73" i="57"/>
  <c r="F74" i="57"/>
  <c r="F75" i="57"/>
  <c r="F76" i="57"/>
  <c r="F77" i="57"/>
  <c r="D7" i="62"/>
  <c r="C50" i="22"/>
  <c r="H51" i="22"/>
  <c r="G6" i="57"/>
  <c r="G10" i="57"/>
  <c r="F99" i="57"/>
  <c r="F100" i="57"/>
  <c r="F101" i="57"/>
  <c r="F102" i="57"/>
  <c r="D9" i="62"/>
  <c r="C56" i="22"/>
  <c r="H57" i="22"/>
  <c r="F85" i="57"/>
  <c r="F86" i="57"/>
  <c r="F87" i="57"/>
  <c r="F88" i="57"/>
  <c r="F89" i="57"/>
  <c r="F90" i="57"/>
  <c r="F91" i="57"/>
  <c r="D8" i="62"/>
  <c r="C62" i="22"/>
  <c r="H63" i="22"/>
  <c r="G43" i="21"/>
  <c r="J35" i="61"/>
  <c r="J34" i="61"/>
  <c r="J36" i="61"/>
  <c r="J37" i="61"/>
  <c r="J38" i="61"/>
  <c r="J39" i="61"/>
  <c r="J41" i="61"/>
  <c r="J18" i="61"/>
  <c r="J21" i="61"/>
  <c r="J42" i="61"/>
  <c r="J44" i="61"/>
  <c r="J48" i="61"/>
  <c r="J47" i="61"/>
  <c r="J49" i="61"/>
  <c r="J51" i="61"/>
  <c r="J50" i="61"/>
  <c r="J52" i="61"/>
  <c r="J54" i="61"/>
  <c r="J55" i="61"/>
  <c r="H11" i="68"/>
  <c r="H27" i="68"/>
  <c r="H28" i="68"/>
  <c r="K44" i="22"/>
  <c r="K45" i="22"/>
  <c r="K47" i="22"/>
  <c r="L44" i="22"/>
  <c r="L45" i="22"/>
  <c r="L47" i="22"/>
  <c r="M44" i="22"/>
  <c r="M45" i="22"/>
  <c r="M47" i="22"/>
  <c r="N44" i="22"/>
  <c r="N45" i="22"/>
  <c r="N47" i="22"/>
  <c r="O44" i="22"/>
  <c r="O45" i="22"/>
  <c r="O47" i="22"/>
  <c r="P44" i="22"/>
  <c r="P45" i="22"/>
  <c r="K50" i="22"/>
  <c r="K51" i="22"/>
  <c r="K53" i="22"/>
  <c r="L50" i="22"/>
  <c r="L51" i="22"/>
  <c r="L53" i="22"/>
  <c r="M50" i="22"/>
  <c r="M51" i="22"/>
  <c r="M53" i="22"/>
  <c r="N50" i="22"/>
  <c r="N51" i="22"/>
  <c r="N53" i="22"/>
  <c r="O50" i="22"/>
  <c r="O51" i="22"/>
  <c r="O53" i="22"/>
  <c r="P50" i="22"/>
  <c r="P51" i="22"/>
  <c r="K56" i="22"/>
  <c r="K57" i="22"/>
  <c r="K59" i="22"/>
  <c r="L56" i="22"/>
  <c r="L57" i="22"/>
  <c r="L59" i="22"/>
  <c r="M56" i="22"/>
  <c r="M57" i="22"/>
  <c r="M59" i="22"/>
  <c r="N56" i="22"/>
  <c r="N57" i="22"/>
  <c r="N59" i="22"/>
  <c r="O56" i="22"/>
  <c r="O57" i="22"/>
  <c r="O59" i="22"/>
  <c r="P56" i="22"/>
  <c r="P57" i="22"/>
  <c r="K62" i="22"/>
  <c r="K63" i="22"/>
  <c r="K65" i="22"/>
  <c r="L62" i="22"/>
  <c r="L63" i="22"/>
  <c r="L65" i="22"/>
  <c r="M62" i="22"/>
  <c r="M63" i="22"/>
  <c r="M65" i="22"/>
  <c r="N62" i="22"/>
  <c r="N63" i="22"/>
  <c r="N65" i="22"/>
  <c r="O62" i="22"/>
  <c r="O63" i="22"/>
  <c r="O65" i="22"/>
  <c r="P62" i="22"/>
  <c r="P63" i="22"/>
  <c r="K23" i="48"/>
  <c r="K28" i="48"/>
  <c r="K29" i="48"/>
  <c r="K30" i="48"/>
  <c r="K31" i="48"/>
  <c r="K32" i="48"/>
  <c r="K33" i="48"/>
  <c r="K34" i="48"/>
  <c r="K35" i="48"/>
  <c r="K36" i="48"/>
  <c r="K37" i="48"/>
  <c r="K38" i="48"/>
  <c r="K39" i="48"/>
  <c r="H11" i="21"/>
  <c r="I9" i="53"/>
  <c r="I62" i="53"/>
  <c r="J124" i="53"/>
  <c r="J130" i="53"/>
  <c r="I10" i="53"/>
  <c r="I63" i="53"/>
  <c r="J131" i="53"/>
  <c r="I11" i="53"/>
  <c r="I64" i="53"/>
  <c r="J132" i="53"/>
  <c r="I12" i="53"/>
  <c r="I65" i="53"/>
  <c r="J133" i="53"/>
  <c r="I13" i="53"/>
  <c r="I66" i="53"/>
  <c r="J134" i="53"/>
  <c r="I14" i="53"/>
  <c r="I67" i="53"/>
  <c r="J135" i="53"/>
  <c r="I15" i="53"/>
  <c r="I68" i="53"/>
  <c r="J136" i="53"/>
  <c r="I16" i="53"/>
  <c r="I69" i="53"/>
  <c r="J137" i="53"/>
  <c r="I18" i="53"/>
  <c r="I71" i="53"/>
  <c r="J139" i="53"/>
  <c r="I19" i="53"/>
  <c r="I72" i="53"/>
  <c r="J140" i="53"/>
  <c r="I20" i="53"/>
  <c r="I73" i="53"/>
  <c r="J141" i="53"/>
  <c r="I21" i="53"/>
  <c r="I74" i="53"/>
  <c r="J142" i="53"/>
  <c r="I22" i="53"/>
  <c r="I75" i="53"/>
  <c r="J143" i="53"/>
  <c r="I23" i="53"/>
  <c r="I76" i="53"/>
  <c r="J144" i="53"/>
  <c r="H107" i="81"/>
  <c r="I24" i="53"/>
  <c r="I77" i="53"/>
  <c r="J145" i="53"/>
  <c r="H108" i="81"/>
  <c r="I25" i="53"/>
  <c r="I78" i="53"/>
  <c r="J146" i="53"/>
  <c r="H110" i="81"/>
  <c r="I27" i="53"/>
  <c r="I80" i="53"/>
  <c r="J148" i="53"/>
  <c r="H111" i="81"/>
  <c r="I28" i="53"/>
  <c r="I81" i="53"/>
  <c r="J149" i="53"/>
  <c r="H112" i="81"/>
  <c r="I29" i="53"/>
  <c r="I82" i="53"/>
  <c r="J150" i="53"/>
  <c r="H113" i="81"/>
  <c r="I30" i="53"/>
  <c r="I83" i="53"/>
  <c r="J151" i="53"/>
  <c r="I31" i="53"/>
  <c r="I84" i="53"/>
  <c r="H100" i="83"/>
  <c r="H102" i="83"/>
  <c r="I33" i="53"/>
  <c r="I86" i="53"/>
  <c r="H103" i="83"/>
  <c r="I34" i="53"/>
  <c r="I87" i="53"/>
  <c r="H104" i="83"/>
  <c r="I35" i="53"/>
  <c r="I88" i="53"/>
  <c r="H105" i="83"/>
  <c r="I36" i="53"/>
  <c r="I89" i="53"/>
  <c r="H106" i="83"/>
  <c r="I37" i="53"/>
  <c r="I90" i="53"/>
  <c r="H107" i="83"/>
  <c r="I38" i="53"/>
  <c r="I91" i="53"/>
  <c r="H108" i="83"/>
  <c r="I39" i="53"/>
  <c r="I92" i="53"/>
  <c r="H109" i="83"/>
  <c r="I40" i="53"/>
  <c r="I93" i="53"/>
  <c r="H110" i="83"/>
  <c r="I41" i="53"/>
  <c r="I94" i="53"/>
  <c r="H111" i="83"/>
  <c r="I42" i="53"/>
  <c r="I95" i="53"/>
  <c r="H112" i="83"/>
  <c r="I43" i="53"/>
  <c r="I96" i="53"/>
  <c r="H113" i="83"/>
  <c r="I44" i="53"/>
  <c r="I97" i="53"/>
  <c r="H114" i="83"/>
  <c r="I45" i="53"/>
  <c r="I98" i="53"/>
  <c r="H115" i="83"/>
  <c r="I46" i="53"/>
  <c r="I99" i="53"/>
  <c r="H116" i="83"/>
  <c r="I47" i="53"/>
  <c r="I100" i="53"/>
  <c r="H117" i="83"/>
  <c r="I48" i="53"/>
  <c r="I101" i="53"/>
  <c r="H118" i="83"/>
  <c r="I49" i="53"/>
  <c r="I102" i="53"/>
  <c r="H119" i="83"/>
  <c r="I50" i="53"/>
  <c r="I103" i="53"/>
  <c r="H120" i="83"/>
  <c r="I51" i="53"/>
  <c r="I104" i="53"/>
  <c r="H121" i="83"/>
  <c r="I52" i="53"/>
  <c r="I105" i="53"/>
  <c r="H122" i="83"/>
  <c r="I53" i="53"/>
  <c r="I106" i="53"/>
  <c r="H123" i="83"/>
  <c r="I54" i="53"/>
  <c r="I107" i="53"/>
  <c r="H124" i="83"/>
  <c r="I55" i="53"/>
  <c r="I108" i="53"/>
  <c r="H125" i="83"/>
  <c r="I56" i="53"/>
  <c r="I109" i="53"/>
  <c r="H126" i="83"/>
  <c r="I57" i="53"/>
  <c r="I110" i="53"/>
  <c r="I114" i="53"/>
  <c r="J182" i="53"/>
  <c r="I115" i="53"/>
  <c r="J183" i="53"/>
  <c r="I116" i="53"/>
  <c r="J184" i="53"/>
  <c r="I118" i="53"/>
  <c r="J187" i="53"/>
  <c r="I119" i="53"/>
  <c r="J188" i="53"/>
  <c r="J152" i="53"/>
  <c r="J154" i="53"/>
  <c r="J155" i="53"/>
  <c r="J156" i="53"/>
  <c r="J157" i="53"/>
  <c r="J158" i="53"/>
  <c r="J159" i="53"/>
  <c r="J160" i="53"/>
  <c r="J161" i="53"/>
  <c r="J162" i="53"/>
  <c r="J163" i="53"/>
  <c r="J164" i="53"/>
  <c r="J165" i="53"/>
  <c r="J166" i="53"/>
  <c r="J167" i="53"/>
  <c r="J168" i="53"/>
  <c r="J169" i="53"/>
  <c r="J170" i="53"/>
  <c r="J171" i="53"/>
  <c r="J172" i="53"/>
  <c r="J173" i="53"/>
  <c r="J174" i="53"/>
  <c r="J175" i="53"/>
  <c r="J176" i="53"/>
  <c r="J177" i="53"/>
  <c r="J178" i="53"/>
  <c r="J191" i="53"/>
  <c r="H12" i="21"/>
  <c r="H40" i="81"/>
  <c r="H46" i="81"/>
  <c r="H15" i="55"/>
  <c r="H63" i="55"/>
  <c r="H72" i="55"/>
  <c r="H124" i="55"/>
  <c r="J172" i="55"/>
  <c r="J182" i="55"/>
  <c r="H51" i="81"/>
  <c r="H20" i="55"/>
  <c r="H77" i="55"/>
  <c r="H129" i="55"/>
  <c r="J187" i="55"/>
  <c r="H52" i="81"/>
  <c r="H21" i="55"/>
  <c r="H78" i="55"/>
  <c r="H130" i="55"/>
  <c r="J188" i="55"/>
  <c r="H42" i="81"/>
  <c r="H11" i="55"/>
  <c r="H68" i="55"/>
  <c r="H120" i="55"/>
  <c r="J178" i="55"/>
  <c r="H43" i="81"/>
  <c r="H12" i="55"/>
  <c r="H69" i="55"/>
  <c r="H121" i="55"/>
  <c r="J179" i="55"/>
  <c r="H44" i="81"/>
  <c r="H13" i="55"/>
  <c r="H70" i="55"/>
  <c r="H122" i="55"/>
  <c r="J180" i="55"/>
  <c r="H45" i="81"/>
  <c r="H14" i="55"/>
  <c r="H71" i="55"/>
  <c r="H123" i="55"/>
  <c r="J181" i="55"/>
  <c r="H47" i="81"/>
  <c r="H16" i="55"/>
  <c r="H73" i="55"/>
  <c r="H125" i="55"/>
  <c r="J183" i="55"/>
  <c r="H48" i="81"/>
  <c r="H17" i="55"/>
  <c r="H74" i="55"/>
  <c r="H126" i="55"/>
  <c r="J184" i="55"/>
  <c r="H49" i="81"/>
  <c r="H18" i="55"/>
  <c r="H75" i="55"/>
  <c r="H127" i="55"/>
  <c r="J185" i="55"/>
  <c r="H50" i="81"/>
  <c r="H19" i="55"/>
  <c r="H76" i="55"/>
  <c r="H128" i="55"/>
  <c r="J186" i="55"/>
  <c r="H53" i="81"/>
  <c r="H22" i="55"/>
  <c r="H79" i="55"/>
  <c r="H131" i="55"/>
  <c r="J189" i="55"/>
  <c r="H54" i="81"/>
  <c r="H23" i="55"/>
  <c r="H80" i="55"/>
  <c r="H132" i="55"/>
  <c r="J190" i="55"/>
  <c r="H55" i="81"/>
  <c r="H24" i="55"/>
  <c r="H81" i="55"/>
  <c r="H133" i="55"/>
  <c r="J191" i="55"/>
  <c r="H56" i="81"/>
  <c r="H25" i="55"/>
  <c r="H82" i="55"/>
  <c r="H134" i="55"/>
  <c r="J192" i="55"/>
  <c r="H57" i="81"/>
  <c r="H26" i="55"/>
  <c r="H83" i="55"/>
  <c r="H135" i="55"/>
  <c r="J193" i="55"/>
  <c r="H58" i="81"/>
  <c r="H27" i="55"/>
  <c r="H84" i="55"/>
  <c r="H136" i="55"/>
  <c r="J194" i="55"/>
  <c r="H59" i="81"/>
  <c r="H28" i="55"/>
  <c r="H85" i="55"/>
  <c r="H137" i="55"/>
  <c r="J195" i="55"/>
  <c r="H60" i="81"/>
  <c r="H29" i="55"/>
  <c r="H86" i="55"/>
  <c r="H138" i="55"/>
  <c r="J196" i="55"/>
  <c r="H61" i="81"/>
  <c r="H30" i="55"/>
  <c r="H87" i="55"/>
  <c r="H139" i="55"/>
  <c r="J197" i="55"/>
  <c r="H62" i="81"/>
  <c r="H31" i="55"/>
  <c r="H88" i="55"/>
  <c r="H140" i="55"/>
  <c r="J198" i="55"/>
  <c r="H32" i="55"/>
  <c r="H89" i="55"/>
  <c r="H141" i="55"/>
  <c r="J199" i="55"/>
  <c r="H33" i="55"/>
  <c r="H65" i="55"/>
  <c r="J200" i="55"/>
  <c r="H44" i="83"/>
  <c r="H46" i="83"/>
  <c r="H35" i="55"/>
  <c r="H92" i="55"/>
  <c r="H144" i="55"/>
  <c r="J203" i="55"/>
  <c r="H47" i="83"/>
  <c r="H36" i="55"/>
  <c r="H93" i="55"/>
  <c r="H145" i="55"/>
  <c r="J204" i="55"/>
  <c r="H48" i="83"/>
  <c r="H37" i="55"/>
  <c r="H94" i="55"/>
  <c r="H146" i="55"/>
  <c r="J205" i="55"/>
  <c r="H49" i="83"/>
  <c r="H38" i="55"/>
  <c r="H95" i="55"/>
  <c r="H147" i="55"/>
  <c r="J206" i="55"/>
  <c r="H50" i="83"/>
  <c r="H39" i="55"/>
  <c r="H96" i="55"/>
  <c r="H148" i="55"/>
  <c r="J207" i="55"/>
  <c r="H51" i="83"/>
  <c r="H40" i="55"/>
  <c r="H97" i="55"/>
  <c r="H149" i="55"/>
  <c r="J208" i="55"/>
  <c r="H52" i="83"/>
  <c r="H41" i="55"/>
  <c r="H98" i="55"/>
  <c r="H150" i="55"/>
  <c r="J209" i="55"/>
  <c r="H53" i="83"/>
  <c r="H42" i="55"/>
  <c r="H99" i="55"/>
  <c r="H151" i="55"/>
  <c r="J210" i="55"/>
  <c r="H54" i="83"/>
  <c r="H43" i="55"/>
  <c r="H100" i="55"/>
  <c r="H152" i="55"/>
  <c r="J211" i="55"/>
  <c r="H55" i="83"/>
  <c r="H44" i="55"/>
  <c r="H101" i="55"/>
  <c r="H153" i="55"/>
  <c r="J212" i="55"/>
  <c r="H56" i="83"/>
  <c r="H45" i="55"/>
  <c r="H102" i="55"/>
  <c r="H154" i="55"/>
  <c r="J213" i="55"/>
  <c r="H57" i="83"/>
  <c r="H46" i="55"/>
  <c r="H103" i="55"/>
  <c r="H155" i="55"/>
  <c r="J214" i="55"/>
  <c r="H58" i="83"/>
  <c r="H47" i="55"/>
  <c r="H104" i="55"/>
  <c r="H156" i="55"/>
  <c r="J215" i="55"/>
  <c r="H59" i="83"/>
  <c r="H48" i="55"/>
  <c r="H105" i="55"/>
  <c r="H157" i="55"/>
  <c r="J216" i="55"/>
  <c r="H60" i="83"/>
  <c r="H49" i="55"/>
  <c r="H106" i="55"/>
  <c r="H158" i="55"/>
  <c r="J217" i="55"/>
  <c r="H61" i="83"/>
  <c r="H50" i="55"/>
  <c r="H107" i="55"/>
  <c r="H159" i="55"/>
  <c r="J218" i="55"/>
  <c r="H62" i="83"/>
  <c r="H51" i="55"/>
  <c r="H108" i="55"/>
  <c r="H160" i="55"/>
  <c r="J219" i="55"/>
  <c r="H63" i="83"/>
  <c r="H52" i="55"/>
  <c r="H109" i="55"/>
  <c r="H161" i="55"/>
  <c r="J220" i="55"/>
  <c r="H162" i="55"/>
  <c r="J221" i="55"/>
  <c r="H163" i="55"/>
  <c r="J222" i="55"/>
  <c r="H164" i="55"/>
  <c r="J223" i="55"/>
  <c r="H67" i="83"/>
  <c r="H56" i="55"/>
  <c r="H113" i="55"/>
  <c r="H165" i="55"/>
  <c r="J224" i="55"/>
  <c r="H68" i="83"/>
  <c r="H57" i="55"/>
  <c r="H114" i="55"/>
  <c r="H166" i="55"/>
  <c r="J225" i="55"/>
  <c r="H69" i="83"/>
  <c r="H58" i="55"/>
  <c r="H115" i="55"/>
  <c r="H167" i="55"/>
  <c r="J226" i="55"/>
  <c r="H70" i="83"/>
  <c r="H59" i="55"/>
  <c r="H116" i="55"/>
  <c r="H168" i="55"/>
  <c r="J227" i="55"/>
  <c r="J229" i="55"/>
  <c r="H8" i="21"/>
  <c r="J136" i="72"/>
  <c r="H65" i="81"/>
  <c r="H33" i="72"/>
  <c r="H34" i="72"/>
  <c r="H68" i="81"/>
  <c r="H14" i="72"/>
  <c r="H38" i="72"/>
  <c r="H64" i="72"/>
  <c r="H69" i="81"/>
  <c r="H15" i="72"/>
  <c r="H71" i="81"/>
  <c r="H17" i="72"/>
  <c r="H73" i="81"/>
  <c r="H19" i="72"/>
  <c r="H74" i="81"/>
  <c r="H20" i="72"/>
  <c r="H75" i="81"/>
  <c r="H21" i="72"/>
  <c r="H78" i="81"/>
  <c r="H24" i="72"/>
  <c r="H80" i="81"/>
  <c r="H26" i="72"/>
  <c r="H81" i="81"/>
  <c r="H27" i="72"/>
  <c r="H82" i="81"/>
  <c r="H28" i="72"/>
  <c r="H83" i="81"/>
  <c r="H29" i="72"/>
  <c r="H84" i="81"/>
  <c r="H30" i="72"/>
  <c r="H85" i="81"/>
  <c r="H31" i="72"/>
  <c r="H32" i="72"/>
  <c r="H35" i="72"/>
  <c r="J153" i="72"/>
  <c r="J155" i="72"/>
  <c r="H9" i="21"/>
  <c r="H9" i="42"/>
  <c r="H10" i="42"/>
  <c r="J17" i="42"/>
  <c r="J21" i="42"/>
  <c r="J23" i="42"/>
  <c r="H10" i="21"/>
  <c r="H72" i="83"/>
  <c r="H95" i="83"/>
  <c r="H34" i="84"/>
  <c r="H62" i="84"/>
  <c r="H124" i="84"/>
  <c r="H141" i="84"/>
  <c r="J149" i="84"/>
  <c r="J154" i="84"/>
  <c r="H125" i="84"/>
  <c r="H142" i="84"/>
  <c r="J155" i="84"/>
  <c r="H126" i="84"/>
  <c r="H143" i="84"/>
  <c r="J156" i="84"/>
  <c r="J159" i="84"/>
  <c r="H13" i="21"/>
  <c r="H15" i="21"/>
  <c r="K43" i="48"/>
  <c r="K44" i="48"/>
  <c r="K49" i="48"/>
  <c r="H21" i="21"/>
  <c r="J197" i="53"/>
  <c r="J198" i="53"/>
  <c r="J199" i="53"/>
  <c r="J200" i="53"/>
  <c r="J201" i="53"/>
  <c r="J202" i="53"/>
  <c r="J203" i="53"/>
  <c r="J204" i="53"/>
  <c r="J206" i="53"/>
  <c r="J207" i="53"/>
  <c r="J208" i="53"/>
  <c r="J209" i="53"/>
  <c r="J210" i="53"/>
  <c r="J211" i="53"/>
  <c r="J212" i="53"/>
  <c r="J213" i="53"/>
  <c r="J215" i="53"/>
  <c r="J216" i="53"/>
  <c r="J217" i="53"/>
  <c r="J218" i="53"/>
  <c r="J245" i="53"/>
  <c r="J246" i="53"/>
  <c r="J247" i="53"/>
  <c r="J250" i="53"/>
  <c r="J251" i="53"/>
  <c r="J253" i="53"/>
  <c r="J254" i="53"/>
  <c r="K6" i="61"/>
  <c r="J259" i="53"/>
  <c r="J205" i="53"/>
  <c r="J214" i="53"/>
  <c r="J219" i="53"/>
  <c r="J221" i="53"/>
  <c r="J222" i="53"/>
  <c r="J223" i="53"/>
  <c r="J224" i="53"/>
  <c r="J225" i="53"/>
  <c r="J226" i="53"/>
  <c r="J227" i="53"/>
  <c r="J228" i="53"/>
  <c r="J229" i="53"/>
  <c r="J230" i="53"/>
  <c r="J231" i="53"/>
  <c r="J232" i="53"/>
  <c r="J233" i="53"/>
  <c r="J234" i="53"/>
  <c r="J235" i="53"/>
  <c r="J236" i="53"/>
  <c r="J237" i="53"/>
  <c r="J238" i="53"/>
  <c r="J239" i="53"/>
  <c r="J240" i="53"/>
  <c r="J241" i="53"/>
  <c r="J242" i="53"/>
  <c r="J243" i="53"/>
  <c r="K15" i="61"/>
  <c r="J260" i="53"/>
  <c r="J262" i="53"/>
  <c r="H22" i="21"/>
  <c r="J233" i="55"/>
  <c r="K7" i="61"/>
  <c r="J289" i="55"/>
  <c r="J234" i="55"/>
  <c r="J235" i="55"/>
  <c r="J236" i="55"/>
  <c r="J237" i="55"/>
  <c r="J238" i="55"/>
  <c r="J239" i="55"/>
  <c r="J240" i="55"/>
  <c r="J241" i="55"/>
  <c r="J242" i="55"/>
  <c r="J243" i="55"/>
  <c r="J244" i="55"/>
  <c r="J245" i="55"/>
  <c r="J246" i="55"/>
  <c r="J247" i="55"/>
  <c r="J248" i="55"/>
  <c r="J249" i="55"/>
  <c r="J250" i="55"/>
  <c r="J251" i="55"/>
  <c r="J252" i="55"/>
  <c r="J253" i="55"/>
  <c r="J254" i="55"/>
  <c r="J255" i="55"/>
  <c r="J257" i="55"/>
  <c r="J258" i="55"/>
  <c r="J259" i="55"/>
  <c r="J260" i="55"/>
  <c r="J261" i="55"/>
  <c r="J262" i="55"/>
  <c r="J263" i="55"/>
  <c r="J264" i="55"/>
  <c r="J265" i="55"/>
  <c r="J266" i="55"/>
  <c r="J267" i="55"/>
  <c r="J268" i="55"/>
  <c r="J269" i="55"/>
  <c r="J270" i="55"/>
  <c r="J271" i="55"/>
  <c r="J272" i="55"/>
  <c r="J273" i="55"/>
  <c r="J274" i="55"/>
  <c r="J275" i="55"/>
  <c r="J276" i="55"/>
  <c r="J277" i="55"/>
  <c r="J278" i="55"/>
  <c r="J279" i="55"/>
  <c r="J280" i="55"/>
  <c r="H10" i="55"/>
  <c r="J282" i="55"/>
  <c r="J283" i="55"/>
  <c r="J284" i="55"/>
  <c r="K16" i="61"/>
  <c r="J290" i="55"/>
  <c r="J285" i="55"/>
  <c r="J292" i="55"/>
  <c r="H18" i="21"/>
  <c r="J29" i="42"/>
  <c r="J27" i="42"/>
  <c r="J28" i="42"/>
  <c r="J34" i="42"/>
  <c r="H20" i="21"/>
  <c r="H12" i="72"/>
  <c r="J171" i="72"/>
  <c r="K8" i="61"/>
  <c r="J179" i="72"/>
  <c r="J159" i="72"/>
  <c r="J160" i="72"/>
  <c r="J161" i="72"/>
  <c r="J162" i="72"/>
  <c r="J169" i="72"/>
  <c r="J170" i="72"/>
  <c r="J172" i="72"/>
  <c r="J173" i="72"/>
  <c r="K17" i="61"/>
  <c r="J180" i="72"/>
  <c r="J174" i="72"/>
  <c r="J182" i="72"/>
  <c r="H19" i="21"/>
  <c r="N12" i="83"/>
  <c r="N14" i="83"/>
  <c r="H74" i="83"/>
  <c r="H13" i="84"/>
  <c r="H75" i="83"/>
  <c r="H14" i="84"/>
  <c r="H76" i="83"/>
  <c r="H15" i="84"/>
  <c r="H77" i="83"/>
  <c r="H16" i="84"/>
  <c r="H78" i="83"/>
  <c r="H17" i="84"/>
  <c r="H79" i="83"/>
  <c r="H18" i="84"/>
  <c r="H80" i="83"/>
  <c r="H19" i="84"/>
  <c r="H81" i="83"/>
  <c r="H20" i="84"/>
  <c r="H82" i="83"/>
  <c r="H21" i="84"/>
  <c r="H83" i="83"/>
  <c r="H22" i="84"/>
  <c r="H84" i="83"/>
  <c r="H23" i="84"/>
  <c r="H85" i="83"/>
  <c r="H24" i="84"/>
  <c r="H86" i="83"/>
  <c r="H25" i="84"/>
  <c r="H87" i="83"/>
  <c r="H26" i="84"/>
  <c r="H88" i="83"/>
  <c r="H27" i="84"/>
  <c r="H89" i="83"/>
  <c r="H28" i="84"/>
  <c r="H90" i="83"/>
  <c r="H29" i="84"/>
  <c r="H91" i="83"/>
  <c r="H30" i="84"/>
  <c r="H31" i="84"/>
  <c r="H32" i="84"/>
  <c r="H33" i="84"/>
  <c r="H96" i="83"/>
  <c r="H35" i="84"/>
  <c r="H97" i="83"/>
  <c r="H36" i="84"/>
  <c r="H98" i="83"/>
  <c r="H37" i="84"/>
  <c r="H39" i="84"/>
  <c r="H12" i="84"/>
  <c r="J166" i="84"/>
  <c r="J163" i="84"/>
  <c r="J164" i="84"/>
  <c r="J165" i="84"/>
  <c r="J167" i="84"/>
  <c r="J168" i="84"/>
  <c r="J169" i="84"/>
  <c r="J177" i="84"/>
  <c r="H23" i="21"/>
  <c r="H25" i="21"/>
  <c r="K52" i="48"/>
  <c r="K56" i="48"/>
  <c r="H31" i="21"/>
  <c r="J265" i="53"/>
  <c r="J266" i="53"/>
  <c r="J267" i="53"/>
  <c r="J268" i="53"/>
  <c r="J273" i="53"/>
  <c r="H32" i="21"/>
  <c r="J294" i="55"/>
  <c r="J301" i="55"/>
  <c r="H28" i="21"/>
  <c r="K4" i="22"/>
  <c r="K8" i="22"/>
  <c r="K9" i="22"/>
  <c r="K10" i="22"/>
  <c r="K11" i="22"/>
  <c r="K12" i="22"/>
  <c r="K13" i="22"/>
  <c r="K14" i="22"/>
  <c r="K15" i="22"/>
  <c r="K16" i="22"/>
  <c r="K17" i="22"/>
  <c r="K18" i="22"/>
  <c r="K19" i="22"/>
  <c r="K20" i="22"/>
  <c r="K21" i="22"/>
  <c r="K22" i="22"/>
  <c r="K23" i="22"/>
  <c r="K24" i="22"/>
  <c r="H35" i="21"/>
  <c r="J185" i="72"/>
  <c r="J190" i="72"/>
  <c r="H29" i="21"/>
  <c r="J37" i="42"/>
  <c r="J43" i="42"/>
  <c r="H30" i="21"/>
  <c r="J180" i="84"/>
  <c r="J181" i="84"/>
  <c r="J185" i="84"/>
  <c r="H33" i="21"/>
  <c r="H36" i="21"/>
  <c r="H38" i="21"/>
  <c r="H40" i="21"/>
  <c r="I45" i="22"/>
  <c r="I51" i="22"/>
  <c r="I57" i="22"/>
  <c r="I63" i="22"/>
  <c r="H43" i="21"/>
  <c r="K35" i="61"/>
  <c r="K34" i="61"/>
  <c r="K36" i="61"/>
  <c r="K37" i="61"/>
  <c r="K38" i="61"/>
  <c r="K39" i="61"/>
  <c r="K41" i="61"/>
  <c r="K18" i="61"/>
  <c r="K21" i="61"/>
  <c r="K42" i="61"/>
  <c r="K44" i="61"/>
  <c r="K48" i="61"/>
  <c r="K47" i="61"/>
  <c r="K49" i="61"/>
  <c r="K51" i="61"/>
  <c r="K50" i="61"/>
  <c r="K52" i="61"/>
  <c r="K54" i="61"/>
  <c r="K55" i="61"/>
  <c r="I11" i="68"/>
  <c r="I27" i="68"/>
  <c r="I28" i="68"/>
  <c r="P47" i="22"/>
  <c r="Q44" i="22"/>
  <c r="Q45" i="22"/>
  <c r="P53" i="22"/>
  <c r="Q50" i="22"/>
  <c r="Q51" i="22"/>
  <c r="P59" i="22"/>
  <c r="Q56" i="22"/>
  <c r="Q57" i="22"/>
  <c r="P65" i="22"/>
  <c r="Q62" i="22"/>
  <c r="Q63" i="22"/>
  <c r="H130" i="53"/>
  <c r="F10" i="53"/>
  <c r="F63" i="53"/>
  <c r="H131" i="53"/>
  <c r="F11" i="53"/>
  <c r="F64" i="53"/>
  <c r="H132" i="53"/>
  <c r="F12" i="53"/>
  <c r="F65" i="53"/>
  <c r="H133" i="53"/>
  <c r="F13" i="53"/>
  <c r="F66" i="53"/>
  <c r="H134" i="53"/>
  <c r="F14" i="53"/>
  <c r="F67" i="53"/>
  <c r="H135" i="53"/>
  <c r="F15" i="53"/>
  <c r="F68" i="53"/>
  <c r="H136" i="53"/>
  <c r="F16" i="53"/>
  <c r="F69" i="53"/>
  <c r="H137" i="53"/>
  <c r="F18" i="53"/>
  <c r="F71" i="53"/>
  <c r="H139" i="53"/>
  <c r="F19" i="53"/>
  <c r="F72" i="53"/>
  <c r="H140" i="53"/>
  <c r="F20" i="53"/>
  <c r="F73" i="53"/>
  <c r="H141" i="53"/>
  <c r="F21" i="53"/>
  <c r="F74" i="53"/>
  <c r="H142" i="53"/>
  <c r="F22" i="53"/>
  <c r="F75" i="53"/>
  <c r="H143" i="53"/>
  <c r="F23" i="53"/>
  <c r="F76" i="53"/>
  <c r="H144" i="53"/>
  <c r="F24" i="53"/>
  <c r="F77" i="53"/>
  <c r="H145" i="53"/>
  <c r="F25" i="53"/>
  <c r="F78" i="53"/>
  <c r="H146" i="53"/>
  <c r="F27" i="53"/>
  <c r="F80" i="53"/>
  <c r="H148" i="53"/>
  <c r="F28" i="53"/>
  <c r="F81" i="53"/>
  <c r="H149" i="53"/>
  <c r="F29" i="53"/>
  <c r="F82" i="53"/>
  <c r="H150" i="53"/>
  <c r="F9" i="53"/>
  <c r="F62" i="53"/>
  <c r="F30" i="53"/>
  <c r="F83" i="53"/>
  <c r="F31" i="53"/>
  <c r="F84" i="53"/>
  <c r="F33" i="53"/>
  <c r="F86" i="53"/>
  <c r="F34" i="53"/>
  <c r="F87" i="53"/>
  <c r="F35" i="53"/>
  <c r="F88" i="53"/>
  <c r="F36" i="53"/>
  <c r="F89" i="53"/>
  <c r="F37" i="53"/>
  <c r="F90" i="53"/>
  <c r="F38" i="53"/>
  <c r="F91" i="53"/>
  <c r="F39" i="53"/>
  <c r="F92" i="53"/>
  <c r="F40" i="53"/>
  <c r="F93" i="53"/>
  <c r="F41" i="53"/>
  <c r="F94" i="53"/>
  <c r="F42" i="53"/>
  <c r="F95" i="53"/>
  <c r="F43" i="53"/>
  <c r="F96" i="53"/>
  <c r="F44" i="53"/>
  <c r="F97" i="53"/>
  <c r="F45" i="53"/>
  <c r="F98" i="53"/>
  <c r="F46" i="53"/>
  <c r="F99" i="53"/>
  <c r="F47" i="53"/>
  <c r="F100" i="53"/>
  <c r="F48" i="53"/>
  <c r="F101" i="53"/>
  <c r="F49" i="53"/>
  <c r="F102" i="53"/>
  <c r="F50" i="53"/>
  <c r="F103" i="53"/>
  <c r="F51" i="53"/>
  <c r="F104" i="53"/>
  <c r="F52" i="53"/>
  <c r="F105" i="53"/>
  <c r="F53" i="53"/>
  <c r="F106" i="53"/>
  <c r="F54" i="53"/>
  <c r="F107" i="53"/>
  <c r="F55" i="53"/>
  <c r="F108" i="53"/>
  <c r="F56" i="53"/>
  <c r="F109" i="53"/>
  <c r="F57" i="53"/>
  <c r="F110" i="53"/>
  <c r="F114" i="53"/>
  <c r="H182" i="53"/>
  <c r="F115" i="53"/>
  <c r="H183" i="53"/>
  <c r="F116" i="53"/>
  <c r="H184" i="53"/>
  <c r="F118" i="53"/>
  <c r="H187" i="53"/>
  <c r="F119" i="53"/>
  <c r="H188" i="53"/>
  <c r="H151" i="53"/>
  <c r="H152" i="53"/>
  <c r="H154" i="53"/>
  <c r="H155" i="53"/>
  <c r="H156" i="53"/>
  <c r="H157" i="53"/>
  <c r="H158" i="53"/>
  <c r="H159" i="53"/>
  <c r="H160" i="53"/>
  <c r="H161" i="53"/>
  <c r="H162" i="53"/>
  <c r="H163" i="53"/>
  <c r="H164" i="53"/>
  <c r="H165" i="53"/>
  <c r="H166" i="53"/>
  <c r="H167" i="53"/>
  <c r="H168" i="53"/>
  <c r="H169" i="53"/>
  <c r="H170" i="53"/>
  <c r="H171" i="53"/>
  <c r="H172" i="53"/>
  <c r="H173" i="53"/>
  <c r="H174" i="53"/>
  <c r="H175" i="53"/>
  <c r="H176" i="53"/>
  <c r="H177" i="53"/>
  <c r="H178" i="53"/>
  <c r="H191" i="53"/>
  <c r="I34" i="61"/>
  <c r="E11" i="55"/>
  <c r="E63" i="55"/>
  <c r="E68" i="55"/>
  <c r="E120" i="55"/>
  <c r="H178" i="55"/>
  <c r="E12" i="55"/>
  <c r="E69" i="55"/>
  <c r="E121" i="55"/>
  <c r="H179" i="55"/>
  <c r="E13" i="55"/>
  <c r="E70" i="55"/>
  <c r="E122" i="55"/>
  <c r="H180" i="55"/>
  <c r="E14" i="55"/>
  <c r="E71" i="55"/>
  <c r="E123" i="55"/>
  <c r="H181" i="55"/>
  <c r="E15" i="55"/>
  <c r="E72" i="55"/>
  <c r="E124" i="55"/>
  <c r="H182" i="55"/>
  <c r="E16" i="55"/>
  <c r="E73" i="55"/>
  <c r="E125" i="55"/>
  <c r="H183" i="55"/>
  <c r="E17" i="55"/>
  <c r="E74" i="55"/>
  <c r="E126" i="55"/>
  <c r="H184" i="55"/>
  <c r="E18" i="55"/>
  <c r="E75" i="55"/>
  <c r="E127" i="55"/>
  <c r="H185" i="55"/>
  <c r="E19" i="55"/>
  <c r="E76" i="55"/>
  <c r="E128" i="55"/>
  <c r="H186" i="55"/>
  <c r="E20" i="55"/>
  <c r="E77" i="55"/>
  <c r="E129" i="55"/>
  <c r="H187" i="55"/>
  <c r="E21" i="55"/>
  <c r="E78" i="55"/>
  <c r="E130" i="55"/>
  <c r="H188" i="55"/>
  <c r="E22" i="55"/>
  <c r="E79" i="55"/>
  <c r="E131" i="55"/>
  <c r="H189" i="55"/>
  <c r="E23" i="55"/>
  <c r="E80" i="55"/>
  <c r="E132" i="55"/>
  <c r="H190" i="55"/>
  <c r="E24" i="55"/>
  <c r="E81" i="55"/>
  <c r="E133" i="55"/>
  <c r="H191" i="55"/>
  <c r="E25" i="55"/>
  <c r="E82" i="55"/>
  <c r="E134" i="55"/>
  <c r="H192" i="55"/>
  <c r="E26" i="55"/>
  <c r="E83" i="55"/>
  <c r="E135" i="55"/>
  <c r="H193" i="55"/>
  <c r="E27" i="55"/>
  <c r="E84" i="55"/>
  <c r="E136" i="55"/>
  <c r="H194" i="55"/>
  <c r="E28" i="55"/>
  <c r="E85" i="55"/>
  <c r="E137" i="55"/>
  <c r="H195" i="55"/>
  <c r="E29" i="55"/>
  <c r="E86" i="55"/>
  <c r="E138" i="55"/>
  <c r="H196" i="55"/>
  <c r="E30" i="55"/>
  <c r="E87" i="55"/>
  <c r="E139" i="55"/>
  <c r="H197" i="55"/>
  <c r="E31" i="55"/>
  <c r="E88" i="55"/>
  <c r="E140" i="55"/>
  <c r="H198" i="55"/>
  <c r="F65" i="55"/>
  <c r="H200" i="55"/>
  <c r="E32" i="55"/>
  <c r="E89" i="55"/>
  <c r="E141" i="55"/>
  <c r="H199" i="55"/>
  <c r="E35" i="55"/>
  <c r="E92" i="55"/>
  <c r="E144" i="55"/>
  <c r="H203" i="55"/>
  <c r="E36" i="55"/>
  <c r="E93" i="55"/>
  <c r="E145" i="55"/>
  <c r="H204" i="55"/>
  <c r="E37" i="55"/>
  <c r="E94" i="55"/>
  <c r="E146" i="55"/>
  <c r="H205" i="55"/>
  <c r="E38" i="55"/>
  <c r="E95" i="55"/>
  <c r="E147" i="55"/>
  <c r="H206" i="55"/>
  <c r="E39" i="55"/>
  <c r="E96" i="55"/>
  <c r="E148" i="55"/>
  <c r="H207" i="55"/>
  <c r="E40" i="55"/>
  <c r="E97" i="55"/>
  <c r="E149" i="55"/>
  <c r="H208" i="55"/>
  <c r="E41" i="55"/>
  <c r="E98" i="55"/>
  <c r="E150" i="55"/>
  <c r="H209" i="55"/>
  <c r="E42" i="55"/>
  <c r="E99" i="55"/>
  <c r="E151" i="55"/>
  <c r="H210" i="55"/>
  <c r="E43" i="55"/>
  <c r="E100" i="55"/>
  <c r="E152" i="55"/>
  <c r="H211" i="55"/>
  <c r="E44" i="55"/>
  <c r="E101" i="55"/>
  <c r="E153" i="55"/>
  <c r="H212" i="55"/>
  <c r="E45" i="55"/>
  <c r="E102" i="55"/>
  <c r="E154" i="55"/>
  <c r="H213" i="55"/>
  <c r="E46" i="55"/>
  <c r="E103" i="55"/>
  <c r="E155" i="55"/>
  <c r="H214" i="55"/>
  <c r="E47" i="55"/>
  <c r="E104" i="55"/>
  <c r="E156" i="55"/>
  <c r="H215" i="55"/>
  <c r="E48" i="55"/>
  <c r="E105" i="55"/>
  <c r="E157" i="55"/>
  <c r="H216" i="55"/>
  <c r="E49" i="55"/>
  <c r="E106" i="55"/>
  <c r="E158" i="55"/>
  <c r="H217" i="55"/>
  <c r="E50" i="55"/>
  <c r="E107" i="55"/>
  <c r="E159" i="55"/>
  <c r="H218" i="55"/>
  <c r="E51" i="55"/>
  <c r="E108" i="55"/>
  <c r="E160" i="55"/>
  <c r="H219" i="55"/>
  <c r="E52" i="55"/>
  <c r="E109" i="55"/>
  <c r="E161" i="55"/>
  <c r="H220" i="55"/>
  <c r="E162" i="55"/>
  <c r="H221" i="55"/>
  <c r="E163" i="55"/>
  <c r="H222" i="55"/>
  <c r="E164" i="55"/>
  <c r="H223" i="55"/>
  <c r="E56" i="55"/>
  <c r="E113" i="55"/>
  <c r="E165" i="55"/>
  <c r="H224" i="55"/>
  <c r="E57" i="55"/>
  <c r="E114" i="55"/>
  <c r="E166" i="55"/>
  <c r="H225" i="55"/>
  <c r="E58" i="55"/>
  <c r="E115" i="55"/>
  <c r="E167" i="55"/>
  <c r="H226" i="55"/>
  <c r="E59" i="55"/>
  <c r="E116" i="55"/>
  <c r="E168" i="55"/>
  <c r="H227" i="55"/>
  <c r="H229" i="55"/>
  <c r="I36" i="61"/>
  <c r="E34" i="72"/>
  <c r="E14" i="72"/>
  <c r="E38" i="72"/>
  <c r="E64" i="72"/>
  <c r="H153" i="72"/>
  <c r="H155" i="72"/>
  <c r="I37" i="61"/>
  <c r="I28" i="48"/>
  <c r="I29" i="48"/>
  <c r="I30" i="48"/>
  <c r="I31" i="48"/>
  <c r="I32" i="48"/>
  <c r="I33" i="48"/>
  <c r="I34" i="48"/>
  <c r="I35" i="48"/>
  <c r="I36" i="48"/>
  <c r="I37" i="48"/>
  <c r="I38" i="48"/>
  <c r="I39" i="48"/>
  <c r="I35" i="61"/>
  <c r="F10" i="42"/>
  <c r="H21" i="42"/>
  <c r="H23" i="42"/>
  <c r="I38" i="61"/>
  <c r="E34" i="84"/>
  <c r="E62" i="84"/>
  <c r="E124" i="84"/>
  <c r="E141" i="84"/>
  <c r="H154" i="84"/>
  <c r="E125" i="84"/>
  <c r="E142" i="84"/>
  <c r="H155" i="84"/>
  <c r="E126" i="84"/>
  <c r="E143" i="84"/>
  <c r="H156" i="84"/>
  <c r="H159" i="84"/>
  <c r="I39" i="61"/>
  <c r="I41" i="61"/>
  <c r="L14" i="83"/>
  <c r="F74" i="83"/>
  <c r="F13" i="84"/>
  <c r="F14" i="84"/>
  <c r="F15" i="84"/>
  <c r="F16" i="84"/>
  <c r="F17" i="84"/>
  <c r="F18" i="84"/>
  <c r="F19" i="84"/>
  <c r="F20" i="84"/>
  <c r="F21" i="84"/>
  <c r="F22" i="84"/>
  <c r="F23" i="84"/>
  <c r="F24" i="84"/>
  <c r="F25" i="84"/>
  <c r="F26" i="84"/>
  <c r="F27" i="84"/>
  <c r="F28" i="84"/>
  <c r="F29" i="84"/>
  <c r="F30" i="84"/>
  <c r="F31" i="84"/>
  <c r="F32" i="84"/>
  <c r="F33" i="84"/>
  <c r="F35" i="84"/>
  <c r="F36" i="84"/>
  <c r="F37" i="84"/>
  <c r="F39" i="84"/>
  <c r="F12" i="84"/>
  <c r="H166" i="84"/>
  <c r="H163" i="84"/>
  <c r="H164" i="84"/>
  <c r="H165" i="84"/>
  <c r="H167" i="84"/>
  <c r="H168" i="84"/>
  <c r="I18" i="61"/>
  <c r="I21" i="61"/>
  <c r="I42" i="61"/>
  <c r="I44" i="61"/>
  <c r="H253" i="53"/>
  <c r="H254" i="53"/>
  <c r="G197" i="53"/>
  <c r="G198" i="53"/>
  <c r="G199" i="53"/>
  <c r="G200" i="53"/>
  <c r="G201" i="53"/>
  <c r="G202" i="53"/>
  <c r="G203" i="53"/>
  <c r="G204" i="53"/>
  <c r="G206" i="53"/>
  <c r="G207" i="53"/>
  <c r="G208" i="53"/>
  <c r="G209" i="53"/>
  <c r="G210" i="53"/>
  <c r="G211" i="53"/>
  <c r="G212" i="53"/>
  <c r="G213" i="53"/>
  <c r="G215" i="53"/>
  <c r="G216" i="53"/>
  <c r="G217" i="53"/>
  <c r="G245" i="53"/>
  <c r="G246" i="53"/>
  <c r="G247" i="53"/>
  <c r="G250" i="53"/>
  <c r="G251" i="53"/>
  <c r="G218" i="53"/>
  <c r="G205" i="53"/>
  <c r="G214" i="53"/>
  <c r="G219" i="53"/>
  <c r="G221" i="53"/>
  <c r="G222" i="53"/>
  <c r="G223" i="53"/>
  <c r="G224" i="53"/>
  <c r="G225" i="53"/>
  <c r="G226" i="53"/>
  <c r="G227" i="53"/>
  <c r="G228" i="53"/>
  <c r="G229" i="53"/>
  <c r="G230" i="53"/>
  <c r="G231" i="53"/>
  <c r="G232" i="53"/>
  <c r="G233" i="53"/>
  <c r="G234" i="53"/>
  <c r="G235" i="53"/>
  <c r="G236" i="53"/>
  <c r="G237" i="53"/>
  <c r="G238" i="53"/>
  <c r="G239" i="53"/>
  <c r="G240" i="53"/>
  <c r="G241" i="53"/>
  <c r="G242" i="53"/>
  <c r="G243" i="53"/>
  <c r="H15" i="61"/>
  <c r="I6" i="61"/>
  <c r="H259" i="53"/>
  <c r="H260" i="53"/>
  <c r="H262" i="53"/>
  <c r="I47" i="61"/>
  <c r="H285" i="55"/>
  <c r="G233" i="55"/>
  <c r="G234" i="55"/>
  <c r="G235" i="55"/>
  <c r="G236" i="55"/>
  <c r="G237" i="55"/>
  <c r="G238" i="55"/>
  <c r="G239" i="55"/>
  <c r="G240" i="55"/>
  <c r="G241" i="55"/>
  <c r="G242" i="55"/>
  <c r="G243" i="55"/>
  <c r="G244" i="55"/>
  <c r="G245" i="55"/>
  <c r="G246" i="55"/>
  <c r="G247" i="55"/>
  <c r="G248" i="55"/>
  <c r="G249" i="55"/>
  <c r="G250" i="55"/>
  <c r="G251" i="55"/>
  <c r="G252" i="55"/>
  <c r="G253" i="55"/>
  <c r="E33" i="55"/>
  <c r="E10" i="55"/>
  <c r="G282" i="55"/>
  <c r="G283" i="55"/>
  <c r="G284" i="55"/>
  <c r="G254" i="55"/>
  <c r="G255" i="55"/>
  <c r="G257" i="55"/>
  <c r="G258" i="55"/>
  <c r="G259" i="55"/>
  <c r="G260" i="55"/>
  <c r="G261" i="55"/>
  <c r="G262" i="55"/>
  <c r="G263" i="55"/>
  <c r="G264" i="55"/>
  <c r="G265" i="55"/>
  <c r="G266" i="55"/>
  <c r="G267" i="55"/>
  <c r="G268" i="55"/>
  <c r="G269" i="55"/>
  <c r="G270" i="55"/>
  <c r="G271" i="55"/>
  <c r="G272" i="55"/>
  <c r="G273" i="55"/>
  <c r="G274" i="55"/>
  <c r="G275" i="55"/>
  <c r="G276" i="55"/>
  <c r="G277" i="55"/>
  <c r="G278" i="55"/>
  <c r="G279" i="55"/>
  <c r="G280" i="55"/>
  <c r="H16" i="61"/>
  <c r="I7" i="61"/>
  <c r="H289" i="55"/>
  <c r="H290" i="55"/>
  <c r="H292" i="55"/>
  <c r="I49" i="61"/>
  <c r="H174" i="72"/>
  <c r="G159" i="72"/>
  <c r="G160" i="72"/>
  <c r="G161" i="72"/>
  <c r="G162" i="72"/>
  <c r="E15" i="72"/>
  <c r="E17" i="72"/>
  <c r="E19" i="72"/>
  <c r="E20" i="72"/>
  <c r="E21" i="72"/>
  <c r="E24" i="72"/>
  <c r="E26" i="72"/>
  <c r="E27" i="72"/>
  <c r="E28" i="72"/>
  <c r="E29" i="72"/>
  <c r="E30" i="72"/>
  <c r="E31" i="72"/>
  <c r="E32" i="72"/>
  <c r="G169" i="72"/>
  <c r="E12" i="72"/>
  <c r="G170" i="72"/>
  <c r="G171" i="72"/>
  <c r="E35" i="72"/>
  <c r="G172" i="72"/>
  <c r="G173" i="72"/>
  <c r="H17" i="61"/>
  <c r="I8" i="61"/>
  <c r="H179" i="72"/>
  <c r="H180" i="72"/>
  <c r="H182" i="72"/>
  <c r="I50" i="61"/>
  <c r="I43" i="48"/>
  <c r="I44" i="48"/>
  <c r="I49" i="48"/>
  <c r="I48" i="61"/>
  <c r="H29" i="42"/>
  <c r="H27" i="42"/>
  <c r="H28" i="42"/>
  <c r="H34" i="42"/>
  <c r="I51" i="61"/>
  <c r="H169" i="84"/>
  <c r="H177" i="84"/>
  <c r="I52" i="61"/>
  <c r="I54" i="61"/>
  <c r="I55" i="61"/>
  <c r="G11" i="68"/>
  <c r="G27" i="68"/>
  <c r="G28" i="68"/>
  <c r="F8" i="21"/>
  <c r="F9" i="21"/>
  <c r="F12" i="21"/>
  <c r="F11" i="21"/>
  <c r="F10" i="21"/>
  <c r="F13" i="21"/>
  <c r="F15" i="21"/>
  <c r="F18" i="21"/>
  <c r="F19" i="21"/>
  <c r="F22" i="21"/>
  <c r="F21" i="21"/>
  <c r="F20" i="21"/>
  <c r="F23" i="21"/>
  <c r="F25" i="21"/>
  <c r="I52" i="48"/>
  <c r="I56" i="48"/>
  <c r="F31" i="21"/>
  <c r="H265" i="53"/>
  <c r="H266" i="53"/>
  <c r="H267" i="53"/>
  <c r="H268" i="53"/>
  <c r="H273" i="53"/>
  <c r="F32" i="21"/>
  <c r="H294" i="55"/>
  <c r="H301" i="55"/>
  <c r="F28" i="21"/>
  <c r="I8" i="22"/>
  <c r="I9" i="22"/>
  <c r="I10" i="22"/>
  <c r="I11" i="22"/>
  <c r="I12" i="22"/>
  <c r="I13" i="22"/>
  <c r="I14" i="22"/>
  <c r="I15" i="22"/>
  <c r="I16" i="22"/>
  <c r="I17" i="22"/>
  <c r="I18" i="22"/>
  <c r="I19" i="22"/>
  <c r="I20" i="22"/>
  <c r="I21" i="22"/>
  <c r="I22" i="22"/>
  <c r="I23" i="22"/>
  <c r="I24" i="22"/>
  <c r="F35" i="21"/>
  <c r="H185" i="72"/>
  <c r="H190" i="72"/>
  <c r="F29" i="21"/>
  <c r="H37" i="42"/>
  <c r="H43" i="42"/>
  <c r="F30" i="21"/>
  <c r="H180" i="84"/>
  <c r="H181" i="84"/>
  <c r="H185" i="84"/>
  <c r="F33" i="21"/>
  <c r="F36" i="21"/>
  <c r="F38" i="21"/>
  <c r="F40" i="21"/>
  <c r="G45" i="22"/>
  <c r="G51" i="22"/>
  <c r="G57" i="22"/>
  <c r="G63" i="22"/>
  <c r="D114" i="57"/>
  <c r="D10" i="62"/>
  <c r="G87" i="22"/>
  <c r="F43" i="21"/>
  <c r="G130" i="53"/>
  <c r="E10" i="53"/>
  <c r="E63" i="53"/>
  <c r="G131" i="53"/>
  <c r="E11" i="53"/>
  <c r="E64" i="53"/>
  <c r="G132" i="53"/>
  <c r="E12" i="53"/>
  <c r="E65" i="53"/>
  <c r="G133" i="53"/>
  <c r="E13" i="53"/>
  <c r="E66" i="53"/>
  <c r="G134" i="53"/>
  <c r="E14" i="53"/>
  <c r="E67" i="53"/>
  <c r="G135" i="53"/>
  <c r="E15" i="53"/>
  <c r="E68" i="53"/>
  <c r="G136" i="53"/>
  <c r="E16" i="53"/>
  <c r="E69" i="53"/>
  <c r="G137" i="53"/>
  <c r="E18" i="53"/>
  <c r="E71" i="53"/>
  <c r="G139" i="53"/>
  <c r="E19" i="53"/>
  <c r="E72" i="53"/>
  <c r="G140" i="53"/>
  <c r="E20" i="53"/>
  <c r="E73" i="53"/>
  <c r="G141" i="53"/>
  <c r="E21" i="53"/>
  <c r="E74" i="53"/>
  <c r="G142" i="53"/>
  <c r="E22" i="53"/>
  <c r="E75" i="53"/>
  <c r="G143" i="53"/>
  <c r="E23" i="53"/>
  <c r="E76" i="53"/>
  <c r="G144" i="53"/>
  <c r="E24" i="53"/>
  <c r="E77" i="53"/>
  <c r="G145" i="53"/>
  <c r="E25" i="53"/>
  <c r="E78" i="53"/>
  <c r="G146" i="53"/>
  <c r="E27" i="53"/>
  <c r="E80" i="53"/>
  <c r="G148" i="53"/>
  <c r="E28" i="53"/>
  <c r="E81" i="53"/>
  <c r="G149" i="53"/>
  <c r="E29" i="53"/>
  <c r="E82" i="53"/>
  <c r="G150" i="53"/>
  <c r="E9" i="53"/>
  <c r="E62" i="53"/>
  <c r="E30" i="53"/>
  <c r="E83" i="53"/>
  <c r="E31" i="53"/>
  <c r="E84" i="53"/>
  <c r="E33" i="53"/>
  <c r="E86" i="53"/>
  <c r="E34" i="53"/>
  <c r="E87" i="53"/>
  <c r="E35" i="53"/>
  <c r="E88" i="53"/>
  <c r="E36" i="53"/>
  <c r="E89" i="53"/>
  <c r="E37" i="53"/>
  <c r="E90" i="53"/>
  <c r="E38" i="53"/>
  <c r="E91" i="53"/>
  <c r="E39" i="53"/>
  <c r="E92" i="53"/>
  <c r="E40" i="53"/>
  <c r="E93" i="53"/>
  <c r="E41" i="53"/>
  <c r="E94" i="53"/>
  <c r="E42" i="53"/>
  <c r="E95" i="53"/>
  <c r="E43" i="53"/>
  <c r="E96" i="53"/>
  <c r="E44" i="53"/>
  <c r="E97" i="53"/>
  <c r="E45" i="53"/>
  <c r="E98" i="53"/>
  <c r="E46" i="53"/>
  <c r="E99" i="53"/>
  <c r="E47" i="53"/>
  <c r="E100" i="53"/>
  <c r="E48" i="53"/>
  <c r="E101" i="53"/>
  <c r="E49" i="53"/>
  <c r="E102" i="53"/>
  <c r="E50" i="53"/>
  <c r="E103" i="53"/>
  <c r="E51" i="53"/>
  <c r="E104" i="53"/>
  <c r="E52" i="53"/>
  <c r="E105" i="53"/>
  <c r="E53" i="53"/>
  <c r="E106" i="53"/>
  <c r="E54" i="53"/>
  <c r="E107" i="53"/>
  <c r="E55" i="53"/>
  <c r="E108" i="53"/>
  <c r="E56" i="53"/>
  <c r="E109" i="53"/>
  <c r="E57" i="53"/>
  <c r="E110" i="53"/>
  <c r="E114" i="53"/>
  <c r="G182" i="53"/>
  <c r="E115" i="53"/>
  <c r="G183" i="53"/>
  <c r="E116" i="53"/>
  <c r="G184" i="53"/>
  <c r="E118" i="53"/>
  <c r="G187" i="53"/>
  <c r="E119" i="53"/>
  <c r="G188" i="53"/>
  <c r="G151" i="53"/>
  <c r="G152" i="53"/>
  <c r="G154" i="53"/>
  <c r="G155" i="53"/>
  <c r="G156" i="53"/>
  <c r="G157" i="53"/>
  <c r="G158" i="53"/>
  <c r="G159" i="53"/>
  <c r="G160" i="53"/>
  <c r="G161" i="53"/>
  <c r="G162" i="53"/>
  <c r="G163" i="53"/>
  <c r="G164" i="53"/>
  <c r="G165" i="53"/>
  <c r="G166" i="53"/>
  <c r="G167" i="53"/>
  <c r="G168" i="53"/>
  <c r="G169" i="53"/>
  <c r="G170" i="53"/>
  <c r="G171" i="53"/>
  <c r="G172" i="53"/>
  <c r="G173" i="53"/>
  <c r="G174" i="53"/>
  <c r="G175" i="53"/>
  <c r="G176" i="53"/>
  <c r="G177" i="53"/>
  <c r="G178" i="53"/>
  <c r="G191" i="53"/>
  <c r="H34" i="61"/>
  <c r="D11" i="55"/>
  <c r="D63" i="55"/>
  <c r="D68" i="55"/>
  <c r="D120" i="55"/>
  <c r="G178" i="55"/>
  <c r="D12" i="55"/>
  <c r="D69" i="55"/>
  <c r="D121" i="55"/>
  <c r="G179" i="55"/>
  <c r="D13" i="55"/>
  <c r="D70" i="55"/>
  <c r="D122" i="55"/>
  <c r="G180" i="55"/>
  <c r="D14" i="55"/>
  <c r="D71" i="55"/>
  <c r="D123" i="55"/>
  <c r="G181" i="55"/>
  <c r="D15" i="55"/>
  <c r="D72" i="55"/>
  <c r="D124" i="55"/>
  <c r="G182" i="55"/>
  <c r="D16" i="55"/>
  <c r="D73" i="55"/>
  <c r="D125" i="55"/>
  <c r="G183" i="55"/>
  <c r="D17" i="55"/>
  <c r="D74" i="55"/>
  <c r="D126" i="55"/>
  <c r="G184" i="55"/>
  <c r="D18" i="55"/>
  <c r="D75" i="55"/>
  <c r="D127" i="55"/>
  <c r="G185" i="55"/>
  <c r="D19" i="55"/>
  <c r="D76" i="55"/>
  <c r="D128" i="55"/>
  <c r="G186" i="55"/>
  <c r="D20" i="55"/>
  <c r="D77" i="55"/>
  <c r="D129" i="55"/>
  <c r="G187" i="55"/>
  <c r="D21" i="55"/>
  <c r="D78" i="55"/>
  <c r="D130" i="55"/>
  <c r="G188" i="55"/>
  <c r="D22" i="55"/>
  <c r="D79" i="55"/>
  <c r="D131" i="55"/>
  <c r="G189" i="55"/>
  <c r="D23" i="55"/>
  <c r="D80" i="55"/>
  <c r="D132" i="55"/>
  <c r="G190" i="55"/>
  <c r="D24" i="55"/>
  <c r="D81" i="55"/>
  <c r="D133" i="55"/>
  <c r="G191" i="55"/>
  <c r="D25" i="55"/>
  <c r="D82" i="55"/>
  <c r="D134" i="55"/>
  <c r="G192" i="55"/>
  <c r="D26" i="55"/>
  <c r="D83" i="55"/>
  <c r="D135" i="55"/>
  <c r="G193" i="55"/>
  <c r="D27" i="55"/>
  <c r="D84" i="55"/>
  <c r="D136" i="55"/>
  <c r="G194" i="55"/>
  <c r="D28" i="55"/>
  <c r="D85" i="55"/>
  <c r="D137" i="55"/>
  <c r="G195" i="55"/>
  <c r="D29" i="55"/>
  <c r="D86" i="55"/>
  <c r="D138" i="55"/>
  <c r="G196" i="55"/>
  <c r="D30" i="55"/>
  <c r="D87" i="55"/>
  <c r="D139" i="55"/>
  <c r="G197" i="55"/>
  <c r="D31" i="55"/>
  <c r="D88" i="55"/>
  <c r="D140" i="55"/>
  <c r="G198" i="55"/>
  <c r="E65" i="55"/>
  <c r="G200" i="55"/>
  <c r="D32" i="55"/>
  <c r="D89" i="55"/>
  <c r="D141" i="55"/>
  <c r="G199" i="55"/>
  <c r="D35" i="55"/>
  <c r="D92" i="55"/>
  <c r="D144" i="55"/>
  <c r="G203" i="55"/>
  <c r="D36" i="55"/>
  <c r="D93" i="55"/>
  <c r="D145" i="55"/>
  <c r="G204" i="55"/>
  <c r="D37" i="55"/>
  <c r="D94" i="55"/>
  <c r="D146" i="55"/>
  <c r="G205" i="55"/>
  <c r="D38" i="55"/>
  <c r="D95" i="55"/>
  <c r="D147" i="55"/>
  <c r="G206" i="55"/>
  <c r="D39" i="55"/>
  <c r="D96" i="55"/>
  <c r="D148" i="55"/>
  <c r="G207" i="55"/>
  <c r="D40" i="55"/>
  <c r="D97" i="55"/>
  <c r="D149" i="55"/>
  <c r="G208" i="55"/>
  <c r="D41" i="55"/>
  <c r="D98" i="55"/>
  <c r="D150" i="55"/>
  <c r="G209" i="55"/>
  <c r="D42" i="55"/>
  <c r="D99" i="55"/>
  <c r="D151" i="55"/>
  <c r="G210" i="55"/>
  <c r="D43" i="55"/>
  <c r="D100" i="55"/>
  <c r="D152" i="55"/>
  <c r="G211" i="55"/>
  <c r="D44" i="55"/>
  <c r="D101" i="55"/>
  <c r="D153" i="55"/>
  <c r="G212" i="55"/>
  <c r="D45" i="55"/>
  <c r="D102" i="55"/>
  <c r="D154" i="55"/>
  <c r="G213" i="55"/>
  <c r="D46" i="55"/>
  <c r="D103" i="55"/>
  <c r="D155" i="55"/>
  <c r="G214" i="55"/>
  <c r="D47" i="55"/>
  <c r="D104" i="55"/>
  <c r="D156" i="55"/>
  <c r="G215" i="55"/>
  <c r="D48" i="55"/>
  <c r="D105" i="55"/>
  <c r="D157" i="55"/>
  <c r="G216" i="55"/>
  <c r="D49" i="55"/>
  <c r="D106" i="55"/>
  <c r="D158" i="55"/>
  <c r="G217" i="55"/>
  <c r="D50" i="55"/>
  <c r="D107" i="55"/>
  <c r="D159" i="55"/>
  <c r="G218" i="55"/>
  <c r="D51" i="55"/>
  <c r="D108" i="55"/>
  <c r="D160" i="55"/>
  <c r="G219" i="55"/>
  <c r="D52" i="55"/>
  <c r="D109" i="55"/>
  <c r="D161" i="55"/>
  <c r="G220" i="55"/>
  <c r="D162" i="55"/>
  <c r="G221" i="55"/>
  <c r="D163" i="55"/>
  <c r="G222" i="55"/>
  <c r="D164" i="55"/>
  <c r="G223" i="55"/>
  <c r="D56" i="55"/>
  <c r="D113" i="55"/>
  <c r="D165" i="55"/>
  <c r="G224" i="55"/>
  <c r="D57" i="55"/>
  <c r="D114" i="55"/>
  <c r="D166" i="55"/>
  <c r="G225" i="55"/>
  <c r="D58" i="55"/>
  <c r="D115" i="55"/>
  <c r="D167" i="55"/>
  <c r="G226" i="55"/>
  <c r="D59" i="55"/>
  <c r="D116" i="55"/>
  <c r="D168" i="55"/>
  <c r="G227" i="55"/>
  <c r="G229" i="55"/>
  <c r="H36" i="61"/>
  <c r="D34" i="72"/>
  <c r="D14" i="72"/>
  <c r="D38" i="72"/>
  <c r="D64" i="72"/>
  <c r="G153" i="72"/>
  <c r="G155" i="72"/>
  <c r="H37" i="61"/>
  <c r="H28" i="48"/>
  <c r="H29" i="48"/>
  <c r="H30" i="48"/>
  <c r="H31" i="48"/>
  <c r="H32" i="48"/>
  <c r="H33" i="48"/>
  <c r="H34" i="48"/>
  <c r="H35" i="48"/>
  <c r="H36" i="48"/>
  <c r="H37" i="48"/>
  <c r="H38" i="48"/>
  <c r="H39" i="48"/>
  <c r="H35" i="61"/>
  <c r="E10" i="42"/>
  <c r="G21" i="42"/>
  <c r="G23" i="42"/>
  <c r="H38" i="61"/>
  <c r="D34" i="84"/>
  <c r="D62" i="84"/>
  <c r="D124" i="84"/>
  <c r="D141" i="84"/>
  <c r="G154" i="84"/>
  <c r="D125" i="84"/>
  <c r="D142" i="84"/>
  <c r="G155" i="84"/>
  <c r="D126" i="84"/>
  <c r="D143" i="84"/>
  <c r="G156" i="84"/>
  <c r="G159" i="84"/>
  <c r="H39" i="61"/>
  <c r="H41" i="61"/>
  <c r="K14" i="83"/>
  <c r="E74" i="83"/>
  <c r="E13" i="84"/>
  <c r="E14" i="84"/>
  <c r="E15" i="84"/>
  <c r="E16" i="84"/>
  <c r="E17" i="84"/>
  <c r="E18" i="84"/>
  <c r="E19" i="84"/>
  <c r="E20" i="84"/>
  <c r="E21" i="84"/>
  <c r="E22" i="84"/>
  <c r="E23" i="84"/>
  <c r="E24" i="84"/>
  <c r="E25" i="84"/>
  <c r="E26" i="84"/>
  <c r="E27" i="84"/>
  <c r="E28" i="84"/>
  <c r="E29" i="84"/>
  <c r="E30" i="84"/>
  <c r="E31" i="84"/>
  <c r="E32" i="84"/>
  <c r="E33" i="84"/>
  <c r="E35" i="84"/>
  <c r="E36" i="84"/>
  <c r="E37" i="84"/>
  <c r="E39" i="84"/>
  <c r="E12" i="84"/>
  <c r="G166" i="84"/>
  <c r="G163" i="84"/>
  <c r="G164" i="84"/>
  <c r="G165" i="84"/>
  <c r="G167" i="84"/>
  <c r="G168" i="84"/>
  <c r="H18" i="61"/>
  <c r="H21" i="61"/>
  <c r="H42" i="61"/>
  <c r="H44" i="61"/>
  <c r="G253" i="53"/>
  <c r="G254" i="53"/>
  <c r="F197" i="53"/>
  <c r="F198" i="53"/>
  <c r="F199" i="53"/>
  <c r="F200" i="53"/>
  <c r="F201" i="53"/>
  <c r="F202" i="53"/>
  <c r="F203" i="53"/>
  <c r="F204" i="53"/>
  <c r="F206" i="53"/>
  <c r="F207" i="53"/>
  <c r="F208" i="53"/>
  <c r="F209" i="53"/>
  <c r="F210" i="53"/>
  <c r="F211" i="53"/>
  <c r="F212" i="53"/>
  <c r="F213" i="53"/>
  <c r="F215" i="53"/>
  <c r="F216" i="53"/>
  <c r="F217" i="53"/>
  <c r="F245" i="53"/>
  <c r="F246" i="53"/>
  <c r="F247" i="53"/>
  <c r="F250" i="53"/>
  <c r="F251" i="53"/>
  <c r="F218" i="53"/>
  <c r="F205" i="53"/>
  <c r="F214" i="53"/>
  <c r="F219" i="53"/>
  <c r="F221" i="53"/>
  <c r="F222" i="53"/>
  <c r="F223" i="53"/>
  <c r="F224" i="53"/>
  <c r="F225" i="53"/>
  <c r="F226" i="53"/>
  <c r="F227" i="53"/>
  <c r="F228" i="53"/>
  <c r="F229" i="53"/>
  <c r="F230" i="53"/>
  <c r="F231" i="53"/>
  <c r="F232" i="53"/>
  <c r="F233" i="53"/>
  <c r="F234" i="53"/>
  <c r="F235" i="53"/>
  <c r="F236" i="53"/>
  <c r="F237" i="53"/>
  <c r="F238" i="53"/>
  <c r="F239" i="53"/>
  <c r="F240" i="53"/>
  <c r="F241" i="53"/>
  <c r="F242" i="53"/>
  <c r="F243" i="53"/>
  <c r="G15" i="61"/>
  <c r="H6" i="61"/>
  <c r="G259" i="53"/>
  <c r="G260" i="53"/>
  <c r="G262" i="53"/>
  <c r="H47" i="61"/>
  <c r="G285" i="55"/>
  <c r="F233" i="55"/>
  <c r="F234" i="55"/>
  <c r="F235" i="55"/>
  <c r="F236" i="55"/>
  <c r="F237" i="55"/>
  <c r="F238" i="55"/>
  <c r="F239" i="55"/>
  <c r="F240" i="55"/>
  <c r="F241" i="55"/>
  <c r="F242" i="55"/>
  <c r="F243" i="55"/>
  <c r="F244" i="55"/>
  <c r="F245" i="55"/>
  <c r="F246" i="55"/>
  <c r="F247" i="55"/>
  <c r="F248" i="55"/>
  <c r="F249" i="55"/>
  <c r="F250" i="55"/>
  <c r="F251" i="55"/>
  <c r="F252" i="55"/>
  <c r="F253" i="55"/>
  <c r="D33" i="55"/>
  <c r="D10" i="55"/>
  <c r="F282" i="55"/>
  <c r="F283" i="55"/>
  <c r="F284" i="55"/>
  <c r="F254" i="55"/>
  <c r="F255" i="55"/>
  <c r="F257" i="55"/>
  <c r="F258" i="55"/>
  <c r="F259" i="55"/>
  <c r="F260" i="55"/>
  <c r="F261" i="55"/>
  <c r="F262" i="55"/>
  <c r="F263" i="55"/>
  <c r="F264" i="55"/>
  <c r="F265" i="55"/>
  <c r="F266" i="55"/>
  <c r="F267" i="55"/>
  <c r="F268" i="55"/>
  <c r="F269" i="55"/>
  <c r="F270" i="55"/>
  <c r="F271" i="55"/>
  <c r="F272" i="55"/>
  <c r="F273" i="55"/>
  <c r="F274" i="55"/>
  <c r="F275" i="55"/>
  <c r="F276" i="55"/>
  <c r="F277" i="55"/>
  <c r="F278" i="55"/>
  <c r="F279" i="55"/>
  <c r="F280" i="55"/>
  <c r="G16" i="61"/>
  <c r="H7" i="61"/>
  <c r="G289" i="55"/>
  <c r="G290" i="55"/>
  <c r="G292" i="55"/>
  <c r="H49" i="61"/>
  <c r="G174" i="72"/>
  <c r="F159" i="72"/>
  <c r="F160" i="72"/>
  <c r="F161" i="72"/>
  <c r="F162" i="72"/>
  <c r="D15" i="72"/>
  <c r="D17" i="72"/>
  <c r="D19" i="72"/>
  <c r="D20" i="72"/>
  <c r="D21" i="72"/>
  <c r="D24" i="72"/>
  <c r="D26" i="72"/>
  <c r="D27" i="72"/>
  <c r="D28" i="72"/>
  <c r="D29" i="72"/>
  <c r="D30" i="72"/>
  <c r="D31" i="72"/>
  <c r="D32" i="72"/>
  <c r="F169" i="72"/>
  <c r="D12" i="72"/>
  <c r="F170" i="72"/>
  <c r="F171" i="72"/>
  <c r="D35" i="72"/>
  <c r="F172" i="72"/>
  <c r="F173" i="72"/>
  <c r="G17" i="61"/>
  <c r="H8" i="61"/>
  <c r="G179" i="72"/>
  <c r="G180" i="72"/>
  <c r="G182" i="72"/>
  <c r="H50" i="61"/>
  <c r="H43" i="48"/>
  <c r="H44" i="48"/>
  <c r="H49" i="48"/>
  <c r="H48" i="61"/>
  <c r="G29" i="42"/>
  <c r="G27" i="42"/>
  <c r="G28" i="42"/>
  <c r="G34" i="42"/>
  <c r="H51" i="61"/>
  <c r="G169" i="84"/>
  <c r="G177" i="84"/>
  <c r="H52" i="61"/>
  <c r="H54" i="61"/>
  <c r="H55" i="61"/>
  <c r="F11" i="68"/>
  <c r="F27" i="68"/>
  <c r="F28" i="68"/>
  <c r="E8" i="21"/>
  <c r="E9" i="21"/>
  <c r="E12" i="21"/>
  <c r="E11" i="21"/>
  <c r="E10" i="21"/>
  <c r="E13" i="21"/>
  <c r="E15" i="21"/>
  <c r="E18" i="21"/>
  <c r="E19" i="21"/>
  <c r="E22" i="21"/>
  <c r="E21" i="21"/>
  <c r="E20" i="21"/>
  <c r="E23" i="21"/>
  <c r="E25" i="21"/>
  <c r="H52" i="48"/>
  <c r="H56" i="48"/>
  <c r="E31" i="21"/>
  <c r="G265" i="53"/>
  <c r="G266" i="53"/>
  <c r="G267" i="53"/>
  <c r="G268" i="53"/>
  <c r="G273" i="53"/>
  <c r="E32" i="21"/>
  <c r="G294" i="55"/>
  <c r="G301" i="55"/>
  <c r="E28" i="21"/>
  <c r="H8" i="22"/>
  <c r="H9" i="22"/>
  <c r="H10" i="22"/>
  <c r="H11" i="22"/>
  <c r="H12" i="22"/>
  <c r="H13" i="22"/>
  <c r="H14" i="22"/>
  <c r="H15" i="22"/>
  <c r="H16" i="22"/>
  <c r="H17" i="22"/>
  <c r="H18" i="22"/>
  <c r="H19" i="22"/>
  <c r="H20" i="22"/>
  <c r="H21" i="22"/>
  <c r="H22" i="22"/>
  <c r="H23" i="22"/>
  <c r="H24" i="22"/>
  <c r="E35" i="21"/>
  <c r="G185" i="72"/>
  <c r="G190" i="72"/>
  <c r="E29" i="21"/>
  <c r="G37" i="42"/>
  <c r="G43" i="42"/>
  <c r="E30" i="21"/>
  <c r="G180" i="84"/>
  <c r="G181" i="84"/>
  <c r="G185" i="84"/>
  <c r="E33" i="21"/>
  <c r="E36" i="21"/>
  <c r="E38" i="21"/>
  <c r="E40" i="21"/>
  <c r="F45" i="22"/>
  <c r="F51" i="22"/>
  <c r="F57" i="22"/>
  <c r="F63" i="22"/>
  <c r="F87" i="22"/>
  <c r="E43" i="21"/>
  <c r="F130" i="53"/>
  <c r="D10" i="53"/>
  <c r="D63" i="53"/>
  <c r="F131" i="53"/>
  <c r="D11" i="53"/>
  <c r="D64" i="53"/>
  <c r="F132" i="53"/>
  <c r="D12" i="53"/>
  <c r="D65" i="53"/>
  <c r="F133" i="53"/>
  <c r="D13" i="53"/>
  <c r="D66" i="53"/>
  <c r="F134" i="53"/>
  <c r="D14" i="53"/>
  <c r="D67" i="53"/>
  <c r="F135" i="53"/>
  <c r="D15" i="53"/>
  <c r="D68" i="53"/>
  <c r="F136" i="53"/>
  <c r="D16" i="53"/>
  <c r="D69" i="53"/>
  <c r="F137" i="53"/>
  <c r="D18" i="53"/>
  <c r="D71" i="53"/>
  <c r="F139" i="53"/>
  <c r="D19" i="53"/>
  <c r="D72" i="53"/>
  <c r="F140" i="53"/>
  <c r="D20" i="53"/>
  <c r="D73" i="53"/>
  <c r="F141" i="53"/>
  <c r="D21" i="53"/>
  <c r="D74" i="53"/>
  <c r="F142" i="53"/>
  <c r="D22" i="53"/>
  <c r="D75" i="53"/>
  <c r="F143" i="53"/>
  <c r="D23" i="53"/>
  <c r="D76" i="53"/>
  <c r="F144" i="53"/>
  <c r="D24" i="53"/>
  <c r="D77" i="53"/>
  <c r="F145" i="53"/>
  <c r="D25" i="53"/>
  <c r="D78" i="53"/>
  <c r="F146" i="53"/>
  <c r="D27" i="53"/>
  <c r="D80" i="53"/>
  <c r="F148" i="53"/>
  <c r="D28" i="53"/>
  <c r="D81" i="53"/>
  <c r="F149" i="53"/>
  <c r="D29" i="53"/>
  <c r="D82" i="53"/>
  <c r="F150" i="53"/>
  <c r="D9" i="53"/>
  <c r="D62" i="53"/>
  <c r="D30" i="53"/>
  <c r="D83" i="53"/>
  <c r="D31" i="53"/>
  <c r="D84" i="53"/>
  <c r="D33" i="53"/>
  <c r="D86" i="53"/>
  <c r="D34" i="53"/>
  <c r="D87" i="53"/>
  <c r="D35" i="53"/>
  <c r="D88" i="53"/>
  <c r="D36" i="53"/>
  <c r="D89" i="53"/>
  <c r="D37" i="53"/>
  <c r="D90" i="53"/>
  <c r="D38" i="53"/>
  <c r="D91" i="53"/>
  <c r="D39" i="53"/>
  <c r="D92" i="53"/>
  <c r="D40" i="53"/>
  <c r="D93" i="53"/>
  <c r="D41" i="53"/>
  <c r="D94" i="53"/>
  <c r="D42" i="53"/>
  <c r="D95" i="53"/>
  <c r="D43" i="53"/>
  <c r="D96" i="53"/>
  <c r="D44" i="53"/>
  <c r="D97" i="53"/>
  <c r="D45" i="53"/>
  <c r="D98" i="53"/>
  <c r="D46" i="53"/>
  <c r="D99" i="53"/>
  <c r="D47" i="53"/>
  <c r="D100" i="53"/>
  <c r="D48" i="53"/>
  <c r="D101" i="53"/>
  <c r="D49" i="53"/>
  <c r="D102" i="53"/>
  <c r="D50" i="53"/>
  <c r="D103" i="53"/>
  <c r="D51" i="53"/>
  <c r="D104" i="53"/>
  <c r="D52" i="53"/>
  <c r="D105" i="53"/>
  <c r="D53" i="53"/>
  <c r="D106" i="53"/>
  <c r="D54" i="53"/>
  <c r="D107" i="53"/>
  <c r="D55" i="53"/>
  <c r="D108" i="53"/>
  <c r="D56" i="53"/>
  <c r="D109" i="53"/>
  <c r="D57" i="53"/>
  <c r="D110" i="53"/>
  <c r="D114" i="53"/>
  <c r="F182" i="53"/>
  <c r="D115" i="53"/>
  <c r="F183" i="53"/>
  <c r="D116" i="53"/>
  <c r="F184" i="53"/>
  <c r="D118" i="53"/>
  <c r="F187" i="53"/>
  <c r="D119" i="53"/>
  <c r="F188" i="53"/>
  <c r="F151" i="53"/>
  <c r="F152" i="53"/>
  <c r="F154" i="53"/>
  <c r="F155" i="53"/>
  <c r="F156" i="53"/>
  <c r="F157" i="53"/>
  <c r="F158" i="53"/>
  <c r="F159" i="53"/>
  <c r="F160" i="53"/>
  <c r="F161" i="53"/>
  <c r="F162" i="53"/>
  <c r="F163" i="53"/>
  <c r="F164" i="53"/>
  <c r="F165" i="53"/>
  <c r="F166" i="53"/>
  <c r="F167" i="53"/>
  <c r="F168" i="53"/>
  <c r="F169" i="53"/>
  <c r="F170" i="53"/>
  <c r="F171" i="53"/>
  <c r="F172" i="53"/>
  <c r="F173" i="53"/>
  <c r="F174" i="53"/>
  <c r="F175" i="53"/>
  <c r="F176" i="53"/>
  <c r="F177" i="53"/>
  <c r="F178" i="53"/>
  <c r="F191" i="53"/>
  <c r="G34" i="61"/>
  <c r="C11" i="55"/>
  <c r="C63" i="55"/>
  <c r="C68" i="55"/>
  <c r="C120" i="55"/>
  <c r="F178" i="55"/>
  <c r="C12" i="55"/>
  <c r="C69" i="55"/>
  <c r="C121" i="55"/>
  <c r="F179" i="55"/>
  <c r="C13" i="55"/>
  <c r="C70" i="55"/>
  <c r="C122" i="55"/>
  <c r="F180" i="55"/>
  <c r="C14" i="55"/>
  <c r="C71" i="55"/>
  <c r="C123" i="55"/>
  <c r="F181" i="55"/>
  <c r="C15" i="55"/>
  <c r="C72" i="55"/>
  <c r="C124" i="55"/>
  <c r="F182" i="55"/>
  <c r="C16" i="55"/>
  <c r="C73" i="55"/>
  <c r="C125" i="55"/>
  <c r="F183" i="55"/>
  <c r="C17" i="55"/>
  <c r="C74" i="55"/>
  <c r="C126" i="55"/>
  <c r="F184" i="55"/>
  <c r="C18" i="55"/>
  <c r="C75" i="55"/>
  <c r="C127" i="55"/>
  <c r="F185" i="55"/>
  <c r="C19" i="55"/>
  <c r="C76" i="55"/>
  <c r="C128" i="55"/>
  <c r="F186" i="55"/>
  <c r="C20" i="55"/>
  <c r="C77" i="55"/>
  <c r="C129" i="55"/>
  <c r="F187" i="55"/>
  <c r="C21" i="55"/>
  <c r="C78" i="55"/>
  <c r="C130" i="55"/>
  <c r="F188" i="55"/>
  <c r="C22" i="55"/>
  <c r="C79" i="55"/>
  <c r="C131" i="55"/>
  <c r="F189" i="55"/>
  <c r="C23" i="55"/>
  <c r="C80" i="55"/>
  <c r="C132" i="55"/>
  <c r="F190" i="55"/>
  <c r="C24" i="55"/>
  <c r="C81" i="55"/>
  <c r="C133" i="55"/>
  <c r="F191" i="55"/>
  <c r="C25" i="55"/>
  <c r="C82" i="55"/>
  <c r="C134" i="55"/>
  <c r="F192" i="55"/>
  <c r="C26" i="55"/>
  <c r="C83" i="55"/>
  <c r="C135" i="55"/>
  <c r="F193" i="55"/>
  <c r="C27" i="55"/>
  <c r="C84" i="55"/>
  <c r="C136" i="55"/>
  <c r="F194" i="55"/>
  <c r="C28" i="55"/>
  <c r="C85" i="55"/>
  <c r="C137" i="55"/>
  <c r="F195" i="55"/>
  <c r="C29" i="55"/>
  <c r="C86" i="55"/>
  <c r="C138" i="55"/>
  <c r="F196" i="55"/>
  <c r="C30" i="55"/>
  <c r="C87" i="55"/>
  <c r="C139" i="55"/>
  <c r="F197" i="55"/>
  <c r="C31" i="55"/>
  <c r="C88" i="55"/>
  <c r="C140" i="55"/>
  <c r="F198" i="55"/>
  <c r="D65" i="55"/>
  <c r="F200" i="55"/>
  <c r="C32" i="55"/>
  <c r="C89" i="55"/>
  <c r="C141" i="55"/>
  <c r="F199" i="55"/>
  <c r="C35" i="55"/>
  <c r="C92" i="55"/>
  <c r="C144" i="55"/>
  <c r="F203" i="55"/>
  <c r="C36" i="55"/>
  <c r="C93" i="55"/>
  <c r="C145" i="55"/>
  <c r="F204" i="55"/>
  <c r="C37" i="55"/>
  <c r="C94" i="55"/>
  <c r="C146" i="55"/>
  <c r="F205" i="55"/>
  <c r="C38" i="55"/>
  <c r="C95" i="55"/>
  <c r="C147" i="55"/>
  <c r="F206" i="55"/>
  <c r="C39" i="55"/>
  <c r="C96" i="55"/>
  <c r="C148" i="55"/>
  <c r="F207" i="55"/>
  <c r="C40" i="55"/>
  <c r="C97" i="55"/>
  <c r="C149" i="55"/>
  <c r="F208" i="55"/>
  <c r="C41" i="55"/>
  <c r="C98" i="55"/>
  <c r="C150" i="55"/>
  <c r="F209" i="55"/>
  <c r="C42" i="55"/>
  <c r="C99" i="55"/>
  <c r="C151" i="55"/>
  <c r="F210" i="55"/>
  <c r="C43" i="55"/>
  <c r="C100" i="55"/>
  <c r="C152" i="55"/>
  <c r="F211" i="55"/>
  <c r="C44" i="55"/>
  <c r="C101" i="55"/>
  <c r="C153" i="55"/>
  <c r="F212" i="55"/>
  <c r="C45" i="55"/>
  <c r="C102" i="55"/>
  <c r="C154" i="55"/>
  <c r="F213" i="55"/>
  <c r="C46" i="55"/>
  <c r="C103" i="55"/>
  <c r="C155" i="55"/>
  <c r="F214" i="55"/>
  <c r="C47" i="55"/>
  <c r="C104" i="55"/>
  <c r="C156" i="55"/>
  <c r="F215" i="55"/>
  <c r="C48" i="55"/>
  <c r="C105" i="55"/>
  <c r="C157" i="55"/>
  <c r="F216" i="55"/>
  <c r="C49" i="55"/>
  <c r="C106" i="55"/>
  <c r="C158" i="55"/>
  <c r="F217" i="55"/>
  <c r="C50" i="55"/>
  <c r="C107" i="55"/>
  <c r="C159" i="55"/>
  <c r="F218" i="55"/>
  <c r="C51" i="55"/>
  <c r="C108" i="55"/>
  <c r="C160" i="55"/>
  <c r="F219" i="55"/>
  <c r="C52" i="55"/>
  <c r="C109" i="55"/>
  <c r="C161" i="55"/>
  <c r="F220" i="55"/>
  <c r="C162" i="55"/>
  <c r="F221" i="55"/>
  <c r="C163" i="55"/>
  <c r="F222" i="55"/>
  <c r="C164" i="55"/>
  <c r="F223" i="55"/>
  <c r="C56" i="55"/>
  <c r="C113" i="55"/>
  <c r="C165" i="55"/>
  <c r="F224" i="55"/>
  <c r="C57" i="55"/>
  <c r="C114" i="55"/>
  <c r="C166" i="55"/>
  <c r="F225" i="55"/>
  <c r="C58" i="55"/>
  <c r="C115" i="55"/>
  <c r="C167" i="55"/>
  <c r="F226" i="55"/>
  <c r="C59" i="55"/>
  <c r="C116" i="55"/>
  <c r="C168" i="55"/>
  <c r="F227" i="55"/>
  <c r="F229" i="55"/>
  <c r="G36" i="61"/>
  <c r="C34" i="72"/>
  <c r="C14" i="72"/>
  <c r="C38" i="72"/>
  <c r="C64" i="72"/>
  <c r="F153" i="72"/>
  <c r="F155" i="72"/>
  <c r="G37" i="61"/>
  <c r="G28" i="48"/>
  <c r="G29" i="48"/>
  <c r="G30" i="48"/>
  <c r="G31" i="48"/>
  <c r="G32" i="48"/>
  <c r="G33" i="48"/>
  <c r="G34" i="48"/>
  <c r="G35" i="48"/>
  <c r="G36" i="48"/>
  <c r="G37" i="48"/>
  <c r="G38" i="48"/>
  <c r="G39" i="48"/>
  <c r="G35" i="61"/>
  <c r="D10" i="42"/>
  <c r="F21" i="42"/>
  <c r="F23" i="42"/>
  <c r="G38" i="61"/>
  <c r="C34" i="84"/>
  <c r="C62" i="84"/>
  <c r="C124" i="84"/>
  <c r="C141" i="84"/>
  <c r="F154" i="84"/>
  <c r="C125" i="84"/>
  <c r="C142" i="84"/>
  <c r="F155" i="84"/>
  <c r="C126" i="84"/>
  <c r="C143" i="84"/>
  <c r="F156" i="84"/>
  <c r="F159" i="84"/>
  <c r="G39" i="61"/>
  <c r="G41" i="61"/>
  <c r="J14" i="83"/>
  <c r="D74" i="83"/>
  <c r="D13" i="84"/>
  <c r="D14" i="84"/>
  <c r="D15" i="84"/>
  <c r="D16" i="84"/>
  <c r="D17" i="84"/>
  <c r="D18" i="84"/>
  <c r="D19" i="84"/>
  <c r="D20" i="84"/>
  <c r="D21" i="84"/>
  <c r="D22" i="84"/>
  <c r="D23" i="84"/>
  <c r="D24" i="84"/>
  <c r="D25" i="84"/>
  <c r="D26" i="84"/>
  <c r="D27" i="84"/>
  <c r="D28" i="84"/>
  <c r="D29" i="84"/>
  <c r="D30" i="84"/>
  <c r="D31" i="84"/>
  <c r="D32" i="84"/>
  <c r="D33" i="84"/>
  <c r="D35" i="84"/>
  <c r="D36" i="84"/>
  <c r="D37" i="84"/>
  <c r="D39" i="84"/>
  <c r="D12" i="84"/>
  <c r="F166" i="84"/>
  <c r="F163" i="84"/>
  <c r="F164" i="84"/>
  <c r="F165" i="84"/>
  <c r="F167" i="84"/>
  <c r="F168" i="84"/>
  <c r="G18" i="61"/>
  <c r="G21" i="61"/>
  <c r="G42" i="61"/>
  <c r="G44" i="61"/>
  <c r="F253" i="53"/>
  <c r="F254" i="53"/>
  <c r="E197" i="53"/>
  <c r="E198" i="53"/>
  <c r="E199" i="53"/>
  <c r="E200" i="53"/>
  <c r="E201" i="53"/>
  <c r="E202" i="53"/>
  <c r="E203" i="53"/>
  <c r="E204" i="53"/>
  <c r="E206" i="53"/>
  <c r="E207" i="53"/>
  <c r="E208" i="53"/>
  <c r="E209" i="53"/>
  <c r="E210" i="53"/>
  <c r="E211" i="53"/>
  <c r="E212" i="53"/>
  <c r="E213" i="53"/>
  <c r="E215" i="53"/>
  <c r="E216" i="53"/>
  <c r="E217" i="53"/>
  <c r="E245" i="53"/>
  <c r="E246" i="53"/>
  <c r="E247" i="53"/>
  <c r="E250" i="53"/>
  <c r="E251" i="53"/>
  <c r="E218" i="53"/>
  <c r="E205" i="53"/>
  <c r="E214" i="53"/>
  <c r="E219" i="53"/>
  <c r="E221" i="53"/>
  <c r="E222" i="53"/>
  <c r="E223" i="53"/>
  <c r="E224" i="53"/>
  <c r="E225" i="53"/>
  <c r="E226" i="53"/>
  <c r="E227" i="53"/>
  <c r="E228" i="53"/>
  <c r="E229" i="53"/>
  <c r="E230" i="53"/>
  <c r="E231" i="53"/>
  <c r="E232" i="53"/>
  <c r="E233" i="53"/>
  <c r="E234" i="53"/>
  <c r="E235" i="53"/>
  <c r="E236" i="53"/>
  <c r="E237" i="53"/>
  <c r="E238" i="53"/>
  <c r="E239" i="53"/>
  <c r="E240" i="53"/>
  <c r="E241" i="53"/>
  <c r="E242" i="53"/>
  <c r="E243" i="53"/>
  <c r="F15" i="61"/>
  <c r="G6" i="61"/>
  <c r="F259" i="53"/>
  <c r="F260" i="53"/>
  <c r="F262" i="53"/>
  <c r="G47" i="61"/>
  <c r="F285" i="55"/>
  <c r="E233" i="55"/>
  <c r="E234" i="55"/>
  <c r="E235" i="55"/>
  <c r="E236" i="55"/>
  <c r="E237" i="55"/>
  <c r="E238" i="55"/>
  <c r="E239" i="55"/>
  <c r="E240" i="55"/>
  <c r="E241" i="55"/>
  <c r="E242" i="55"/>
  <c r="E243" i="55"/>
  <c r="E244" i="55"/>
  <c r="E245" i="55"/>
  <c r="E246" i="55"/>
  <c r="E247" i="55"/>
  <c r="E248" i="55"/>
  <c r="E249" i="55"/>
  <c r="E250" i="55"/>
  <c r="E251" i="55"/>
  <c r="E252" i="55"/>
  <c r="E253" i="55"/>
  <c r="C33" i="55"/>
  <c r="C10" i="55"/>
  <c r="E282" i="55"/>
  <c r="E283" i="55"/>
  <c r="E284" i="55"/>
  <c r="E254" i="55"/>
  <c r="E255" i="55"/>
  <c r="E257" i="55"/>
  <c r="E258" i="55"/>
  <c r="E259" i="55"/>
  <c r="E260" i="55"/>
  <c r="E261" i="55"/>
  <c r="E262" i="55"/>
  <c r="E263" i="55"/>
  <c r="E264" i="55"/>
  <c r="E265" i="55"/>
  <c r="E266" i="55"/>
  <c r="E267" i="55"/>
  <c r="E268" i="55"/>
  <c r="E269" i="55"/>
  <c r="E270" i="55"/>
  <c r="E271" i="55"/>
  <c r="E272" i="55"/>
  <c r="E273" i="55"/>
  <c r="E274" i="55"/>
  <c r="E275" i="55"/>
  <c r="E276" i="55"/>
  <c r="E277" i="55"/>
  <c r="E278" i="55"/>
  <c r="E279" i="55"/>
  <c r="E280" i="55"/>
  <c r="F16" i="61"/>
  <c r="G7" i="61"/>
  <c r="F289" i="55"/>
  <c r="F290" i="55"/>
  <c r="F292" i="55"/>
  <c r="G49" i="61"/>
  <c r="F174" i="72"/>
  <c r="E159" i="72"/>
  <c r="E160" i="72"/>
  <c r="E161" i="72"/>
  <c r="E162" i="72"/>
  <c r="C15" i="72"/>
  <c r="C17" i="72"/>
  <c r="C19" i="72"/>
  <c r="C20" i="72"/>
  <c r="C21" i="72"/>
  <c r="C24" i="72"/>
  <c r="C26" i="72"/>
  <c r="C27" i="72"/>
  <c r="C28" i="72"/>
  <c r="C29" i="72"/>
  <c r="C30" i="72"/>
  <c r="C31" i="72"/>
  <c r="C32" i="72"/>
  <c r="E169" i="72"/>
  <c r="C12" i="72"/>
  <c r="E170" i="72"/>
  <c r="E171" i="72"/>
  <c r="C35" i="72"/>
  <c r="E172" i="72"/>
  <c r="E173" i="72"/>
  <c r="F17" i="61"/>
  <c r="G8" i="61"/>
  <c r="F179" i="72"/>
  <c r="F180" i="72"/>
  <c r="F182" i="72"/>
  <c r="G50" i="61"/>
  <c r="G43" i="48"/>
  <c r="G44" i="48"/>
  <c r="G49" i="48"/>
  <c r="G48" i="61"/>
  <c r="F29" i="42"/>
  <c r="F27" i="42"/>
  <c r="F28" i="42"/>
  <c r="F34" i="42"/>
  <c r="G51" i="61"/>
  <c r="F169" i="84"/>
  <c r="F177" i="84"/>
  <c r="G52" i="61"/>
  <c r="G54" i="61"/>
  <c r="G55" i="61"/>
  <c r="E11" i="68"/>
  <c r="E27" i="68"/>
  <c r="E28" i="68"/>
  <c r="D8" i="21"/>
  <c r="D9" i="21"/>
  <c r="D12" i="21"/>
  <c r="D11" i="21"/>
  <c r="D10" i="21"/>
  <c r="D13" i="21"/>
  <c r="D15" i="21"/>
  <c r="D18" i="21"/>
  <c r="D19" i="21"/>
  <c r="D22" i="21"/>
  <c r="D21" i="21"/>
  <c r="D20" i="21"/>
  <c r="D23" i="21"/>
  <c r="D25" i="21"/>
  <c r="G52" i="48"/>
  <c r="G56" i="48"/>
  <c r="D31" i="21"/>
  <c r="F265" i="53"/>
  <c r="F266" i="53"/>
  <c r="F267" i="53"/>
  <c r="F268" i="53"/>
  <c r="F273" i="53"/>
  <c r="D32" i="21"/>
  <c r="F294" i="55"/>
  <c r="F301" i="55"/>
  <c r="D28" i="21"/>
  <c r="G8" i="22"/>
  <c r="G9" i="22"/>
  <c r="G10" i="22"/>
  <c r="G11" i="22"/>
  <c r="G12" i="22"/>
  <c r="G13" i="22"/>
  <c r="G14" i="22"/>
  <c r="G15" i="22"/>
  <c r="G16" i="22"/>
  <c r="G17" i="22"/>
  <c r="G18" i="22"/>
  <c r="G19" i="22"/>
  <c r="G20" i="22"/>
  <c r="G21" i="22"/>
  <c r="G22" i="22"/>
  <c r="G23" i="22"/>
  <c r="G24" i="22"/>
  <c r="D35" i="21"/>
  <c r="F185" i="72"/>
  <c r="F190" i="72"/>
  <c r="D29" i="21"/>
  <c r="F37" i="42"/>
  <c r="F43" i="42"/>
  <c r="D30" i="21"/>
  <c r="F180" i="84"/>
  <c r="F181" i="84"/>
  <c r="F185" i="84"/>
  <c r="D33" i="21"/>
  <c r="D36" i="21"/>
  <c r="D38" i="21"/>
  <c r="D40" i="21"/>
  <c r="E45" i="22"/>
  <c r="E51" i="22"/>
  <c r="E57" i="22"/>
  <c r="E63" i="22"/>
  <c r="E87" i="22"/>
  <c r="D43" i="21"/>
  <c r="E130" i="53"/>
  <c r="C10" i="53"/>
  <c r="C63" i="53"/>
  <c r="E131" i="53"/>
  <c r="C11" i="53"/>
  <c r="C64" i="53"/>
  <c r="E132" i="53"/>
  <c r="C12" i="53"/>
  <c r="C65" i="53"/>
  <c r="E133" i="53"/>
  <c r="C13" i="53"/>
  <c r="C66" i="53"/>
  <c r="E134" i="53"/>
  <c r="C14" i="53"/>
  <c r="C67" i="53"/>
  <c r="E135" i="53"/>
  <c r="C15" i="53"/>
  <c r="C68" i="53"/>
  <c r="E136" i="53"/>
  <c r="C16" i="53"/>
  <c r="C69" i="53"/>
  <c r="E137" i="53"/>
  <c r="C18" i="53"/>
  <c r="C71" i="53"/>
  <c r="E139" i="53"/>
  <c r="C19" i="53"/>
  <c r="C72" i="53"/>
  <c r="E140" i="53"/>
  <c r="C20" i="53"/>
  <c r="C73" i="53"/>
  <c r="E141" i="53"/>
  <c r="C21" i="53"/>
  <c r="C74" i="53"/>
  <c r="E142" i="53"/>
  <c r="C22" i="53"/>
  <c r="C75" i="53"/>
  <c r="E143" i="53"/>
  <c r="C23" i="53"/>
  <c r="C76" i="53"/>
  <c r="E144" i="53"/>
  <c r="C24" i="53"/>
  <c r="C77" i="53"/>
  <c r="E145" i="53"/>
  <c r="C25" i="53"/>
  <c r="C78" i="53"/>
  <c r="E146" i="53"/>
  <c r="C27" i="53"/>
  <c r="C80" i="53"/>
  <c r="E148" i="53"/>
  <c r="C28" i="53"/>
  <c r="C81" i="53"/>
  <c r="E149" i="53"/>
  <c r="C29" i="53"/>
  <c r="C82" i="53"/>
  <c r="E150" i="53"/>
  <c r="C9" i="53"/>
  <c r="C62" i="53"/>
  <c r="C30" i="53"/>
  <c r="C83" i="53"/>
  <c r="C31" i="53"/>
  <c r="C84" i="53"/>
  <c r="C33" i="53"/>
  <c r="C86" i="53"/>
  <c r="C34" i="53"/>
  <c r="C87" i="53"/>
  <c r="C35" i="53"/>
  <c r="C88" i="53"/>
  <c r="C36" i="53"/>
  <c r="C89" i="53"/>
  <c r="C37" i="53"/>
  <c r="C90" i="53"/>
  <c r="C38" i="53"/>
  <c r="C91" i="53"/>
  <c r="C39" i="53"/>
  <c r="C92" i="53"/>
  <c r="C40" i="53"/>
  <c r="C93" i="53"/>
  <c r="C41" i="53"/>
  <c r="C94" i="53"/>
  <c r="C42" i="53"/>
  <c r="C95" i="53"/>
  <c r="C43" i="53"/>
  <c r="C96" i="53"/>
  <c r="C44" i="53"/>
  <c r="C97" i="53"/>
  <c r="C45" i="53"/>
  <c r="C98" i="53"/>
  <c r="C46" i="53"/>
  <c r="C99" i="53"/>
  <c r="C47" i="53"/>
  <c r="C100" i="53"/>
  <c r="C48" i="53"/>
  <c r="C101" i="53"/>
  <c r="C49" i="53"/>
  <c r="C102" i="53"/>
  <c r="C50" i="53"/>
  <c r="C103" i="53"/>
  <c r="C51" i="53"/>
  <c r="C104" i="53"/>
  <c r="C52" i="53"/>
  <c r="C105" i="53"/>
  <c r="C53" i="53"/>
  <c r="C106" i="53"/>
  <c r="C54" i="53"/>
  <c r="C107" i="53"/>
  <c r="C55" i="53"/>
  <c r="C108" i="53"/>
  <c r="C56" i="53"/>
  <c r="C109" i="53"/>
  <c r="C57" i="53"/>
  <c r="C110" i="53"/>
  <c r="C114" i="53"/>
  <c r="E182" i="53"/>
  <c r="C115" i="53"/>
  <c r="E183" i="53"/>
  <c r="C116" i="53"/>
  <c r="E184" i="53"/>
  <c r="C118" i="53"/>
  <c r="E187" i="53"/>
  <c r="C119" i="53"/>
  <c r="E188" i="53"/>
  <c r="E151" i="53"/>
  <c r="E152" i="53"/>
  <c r="E154" i="53"/>
  <c r="E155" i="53"/>
  <c r="E156" i="53"/>
  <c r="E157" i="53"/>
  <c r="E158" i="53"/>
  <c r="E159" i="53"/>
  <c r="E160" i="53"/>
  <c r="E161" i="53"/>
  <c r="E162" i="53"/>
  <c r="E163" i="53"/>
  <c r="E164" i="53"/>
  <c r="E165" i="53"/>
  <c r="E166" i="53"/>
  <c r="E167" i="53"/>
  <c r="E168" i="53"/>
  <c r="E169" i="53"/>
  <c r="E170" i="53"/>
  <c r="E171" i="53"/>
  <c r="E172" i="53"/>
  <c r="E173" i="53"/>
  <c r="E174" i="53"/>
  <c r="E175" i="53"/>
  <c r="E176" i="53"/>
  <c r="E177" i="53"/>
  <c r="E178" i="53"/>
  <c r="E191" i="53"/>
  <c r="F34" i="61"/>
  <c r="B11" i="55"/>
  <c r="B68" i="55"/>
  <c r="B120" i="55"/>
  <c r="E178" i="55"/>
  <c r="B12" i="55"/>
  <c r="B69" i="55"/>
  <c r="B121" i="55"/>
  <c r="E179" i="55"/>
  <c r="B13" i="55"/>
  <c r="B70" i="55"/>
  <c r="B122" i="55"/>
  <c r="E180" i="55"/>
  <c r="B14" i="55"/>
  <c r="B71" i="55"/>
  <c r="B123" i="55"/>
  <c r="E181" i="55"/>
  <c r="B15" i="55"/>
  <c r="B72" i="55"/>
  <c r="B124" i="55"/>
  <c r="E182" i="55"/>
  <c r="B16" i="55"/>
  <c r="B73" i="55"/>
  <c r="B125" i="55"/>
  <c r="E183" i="55"/>
  <c r="B17" i="55"/>
  <c r="B74" i="55"/>
  <c r="B126" i="55"/>
  <c r="E184" i="55"/>
  <c r="B18" i="55"/>
  <c r="B75" i="55"/>
  <c r="B127" i="55"/>
  <c r="E185" i="55"/>
  <c r="B19" i="55"/>
  <c r="B76" i="55"/>
  <c r="B128" i="55"/>
  <c r="E186" i="55"/>
  <c r="B20" i="55"/>
  <c r="B77" i="55"/>
  <c r="B129" i="55"/>
  <c r="E187" i="55"/>
  <c r="B21" i="55"/>
  <c r="B78" i="55"/>
  <c r="B130" i="55"/>
  <c r="E188" i="55"/>
  <c r="B22" i="55"/>
  <c r="B79" i="55"/>
  <c r="B131" i="55"/>
  <c r="E189" i="55"/>
  <c r="B23" i="55"/>
  <c r="B80" i="55"/>
  <c r="B132" i="55"/>
  <c r="E190" i="55"/>
  <c r="B24" i="55"/>
  <c r="B81" i="55"/>
  <c r="B133" i="55"/>
  <c r="E191" i="55"/>
  <c r="B25" i="55"/>
  <c r="B82" i="55"/>
  <c r="B134" i="55"/>
  <c r="E192" i="55"/>
  <c r="B26" i="55"/>
  <c r="B83" i="55"/>
  <c r="B135" i="55"/>
  <c r="E193" i="55"/>
  <c r="B27" i="55"/>
  <c r="B84" i="55"/>
  <c r="B136" i="55"/>
  <c r="E194" i="55"/>
  <c r="B28" i="55"/>
  <c r="B85" i="55"/>
  <c r="B137" i="55"/>
  <c r="E195" i="55"/>
  <c r="B29" i="55"/>
  <c r="B86" i="55"/>
  <c r="B138" i="55"/>
  <c r="E196" i="55"/>
  <c r="B30" i="55"/>
  <c r="B87" i="55"/>
  <c r="B139" i="55"/>
  <c r="E197" i="55"/>
  <c r="B31" i="55"/>
  <c r="B88" i="55"/>
  <c r="B140" i="55"/>
  <c r="E198" i="55"/>
  <c r="C65" i="55"/>
  <c r="E200" i="55"/>
  <c r="B32" i="55"/>
  <c r="B89" i="55"/>
  <c r="B141" i="55"/>
  <c r="E199" i="55"/>
  <c r="B35" i="55"/>
  <c r="B92" i="55"/>
  <c r="B144" i="55"/>
  <c r="E203" i="55"/>
  <c r="B36" i="55"/>
  <c r="B93" i="55"/>
  <c r="B145" i="55"/>
  <c r="E204" i="55"/>
  <c r="B37" i="55"/>
  <c r="B94" i="55"/>
  <c r="B146" i="55"/>
  <c r="E205" i="55"/>
  <c r="B38" i="55"/>
  <c r="B95" i="55"/>
  <c r="B147" i="55"/>
  <c r="E206" i="55"/>
  <c r="B39" i="55"/>
  <c r="B96" i="55"/>
  <c r="B148" i="55"/>
  <c r="E207" i="55"/>
  <c r="B40" i="55"/>
  <c r="B97" i="55"/>
  <c r="B149" i="55"/>
  <c r="E208" i="55"/>
  <c r="B41" i="55"/>
  <c r="B98" i="55"/>
  <c r="B150" i="55"/>
  <c r="E209" i="55"/>
  <c r="B42" i="55"/>
  <c r="B99" i="55"/>
  <c r="B151" i="55"/>
  <c r="E210" i="55"/>
  <c r="B43" i="55"/>
  <c r="B100" i="55"/>
  <c r="B152" i="55"/>
  <c r="E211" i="55"/>
  <c r="B44" i="55"/>
  <c r="B101" i="55"/>
  <c r="B153" i="55"/>
  <c r="E212" i="55"/>
  <c r="B45" i="55"/>
  <c r="B102" i="55"/>
  <c r="B154" i="55"/>
  <c r="E213" i="55"/>
  <c r="B46" i="55"/>
  <c r="B103" i="55"/>
  <c r="B155" i="55"/>
  <c r="E214" i="55"/>
  <c r="B47" i="55"/>
  <c r="B104" i="55"/>
  <c r="B156" i="55"/>
  <c r="E215" i="55"/>
  <c r="B48" i="55"/>
  <c r="B105" i="55"/>
  <c r="B157" i="55"/>
  <c r="E216" i="55"/>
  <c r="B49" i="55"/>
  <c r="B106" i="55"/>
  <c r="B158" i="55"/>
  <c r="E217" i="55"/>
  <c r="B50" i="55"/>
  <c r="B107" i="55"/>
  <c r="B159" i="55"/>
  <c r="E218" i="55"/>
  <c r="B51" i="55"/>
  <c r="B108" i="55"/>
  <c r="B160" i="55"/>
  <c r="E219" i="55"/>
  <c r="B52" i="55"/>
  <c r="B109" i="55"/>
  <c r="B161" i="55"/>
  <c r="E220" i="55"/>
  <c r="B162" i="55"/>
  <c r="E221" i="55"/>
  <c r="B163" i="55"/>
  <c r="E222" i="55"/>
  <c r="B164" i="55"/>
  <c r="E223" i="55"/>
  <c r="B56" i="55"/>
  <c r="B113" i="55"/>
  <c r="B165" i="55"/>
  <c r="E224" i="55"/>
  <c r="B57" i="55"/>
  <c r="B114" i="55"/>
  <c r="B166" i="55"/>
  <c r="E225" i="55"/>
  <c r="B58" i="55"/>
  <c r="B115" i="55"/>
  <c r="B167" i="55"/>
  <c r="E226" i="55"/>
  <c r="B59" i="55"/>
  <c r="B116" i="55"/>
  <c r="B168" i="55"/>
  <c r="E227" i="55"/>
  <c r="E229" i="55"/>
  <c r="F36" i="61"/>
  <c r="B34" i="72"/>
  <c r="B14" i="72"/>
  <c r="B38" i="72"/>
  <c r="B64" i="72"/>
  <c r="E153" i="72"/>
  <c r="E155" i="72"/>
  <c r="F37" i="61"/>
  <c r="F28" i="48"/>
  <c r="F29" i="48"/>
  <c r="F30" i="48"/>
  <c r="F31" i="48"/>
  <c r="F32" i="48"/>
  <c r="F33" i="48"/>
  <c r="F34" i="48"/>
  <c r="F35" i="48"/>
  <c r="F36" i="48"/>
  <c r="F37" i="48"/>
  <c r="F38" i="48"/>
  <c r="F39" i="48"/>
  <c r="F35" i="61"/>
  <c r="C10" i="42"/>
  <c r="E21" i="42"/>
  <c r="E23" i="42"/>
  <c r="F38" i="61"/>
  <c r="B34" i="84"/>
  <c r="B62" i="84"/>
  <c r="B124" i="84"/>
  <c r="B141" i="84"/>
  <c r="E154" i="84"/>
  <c r="B125" i="84"/>
  <c r="B142" i="84"/>
  <c r="E155" i="84"/>
  <c r="B126" i="84"/>
  <c r="B143" i="84"/>
  <c r="E156" i="84"/>
  <c r="E159" i="84"/>
  <c r="F39" i="61"/>
  <c r="F41" i="61"/>
  <c r="C74" i="83"/>
  <c r="C13" i="84"/>
  <c r="C14" i="84"/>
  <c r="C15" i="84"/>
  <c r="C16" i="84"/>
  <c r="C17" i="84"/>
  <c r="C18" i="84"/>
  <c r="C19" i="84"/>
  <c r="C20" i="84"/>
  <c r="C21" i="84"/>
  <c r="C22" i="84"/>
  <c r="C23" i="84"/>
  <c r="C24" i="84"/>
  <c r="C25" i="84"/>
  <c r="C26" i="84"/>
  <c r="C27" i="84"/>
  <c r="C28" i="84"/>
  <c r="C29" i="84"/>
  <c r="C30" i="84"/>
  <c r="C31" i="84"/>
  <c r="C32" i="84"/>
  <c r="C33" i="84"/>
  <c r="C35" i="84"/>
  <c r="C36" i="84"/>
  <c r="C37" i="84"/>
  <c r="C39" i="84"/>
  <c r="C12" i="84"/>
  <c r="E166" i="84"/>
  <c r="E163" i="84"/>
  <c r="E164" i="84"/>
  <c r="E165" i="84"/>
  <c r="E167" i="84"/>
  <c r="E168" i="84"/>
  <c r="F18" i="61"/>
  <c r="F21" i="61"/>
  <c r="F42" i="61"/>
  <c r="F44" i="61"/>
  <c r="E253" i="53"/>
  <c r="E254" i="53"/>
  <c r="D197" i="53"/>
  <c r="D198" i="53"/>
  <c r="D199" i="53"/>
  <c r="D200" i="53"/>
  <c r="D201" i="53"/>
  <c r="D202" i="53"/>
  <c r="D203" i="53"/>
  <c r="D204" i="53"/>
  <c r="D206" i="53"/>
  <c r="D207" i="53"/>
  <c r="D208" i="53"/>
  <c r="D209" i="53"/>
  <c r="D210" i="53"/>
  <c r="D211" i="53"/>
  <c r="D212" i="53"/>
  <c r="D213" i="53"/>
  <c r="D215" i="53"/>
  <c r="D216" i="53"/>
  <c r="D217" i="53"/>
  <c r="D245" i="53"/>
  <c r="D246" i="53"/>
  <c r="D247" i="53"/>
  <c r="D250" i="53"/>
  <c r="D251" i="53"/>
  <c r="D218" i="53"/>
  <c r="D205" i="53"/>
  <c r="D214" i="53"/>
  <c r="D219" i="53"/>
  <c r="D221" i="53"/>
  <c r="D222" i="53"/>
  <c r="D223" i="53"/>
  <c r="D224" i="53"/>
  <c r="D225" i="53"/>
  <c r="D226" i="53"/>
  <c r="D227" i="53"/>
  <c r="D228" i="53"/>
  <c r="D229" i="53"/>
  <c r="D230" i="53"/>
  <c r="D231" i="53"/>
  <c r="D232" i="53"/>
  <c r="D233" i="53"/>
  <c r="D234" i="53"/>
  <c r="D235" i="53"/>
  <c r="D236" i="53"/>
  <c r="D237" i="53"/>
  <c r="D238" i="53"/>
  <c r="D239" i="53"/>
  <c r="D240" i="53"/>
  <c r="D241" i="53"/>
  <c r="D242" i="53"/>
  <c r="D243" i="53"/>
  <c r="E15" i="61"/>
  <c r="F6" i="61"/>
  <c r="E259" i="53"/>
  <c r="E260" i="53"/>
  <c r="E262" i="53"/>
  <c r="F47" i="61"/>
  <c r="E285" i="55"/>
  <c r="D233" i="55"/>
  <c r="D234" i="55"/>
  <c r="D235" i="55"/>
  <c r="D236" i="55"/>
  <c r="D237" i="55"/>
  <c r="D238" i="55"/>
  <c r="D239" i="55"/>
  <c r="D240" i="55"/>
  <c r="D241" i="55"/>
  <c r="D242" i="55"/>
  <c r="D243" i="55"/>
  <c r="D244" i="55"/>
  <c r="D245" i="55"/>
  <c r="D246" i="55"/>
  <c r="D247" i="55"/>
  <c r="D248" i="55"/>
  <c r="D249" i="55"/>
  <c r="D250" i="55"/>
  <c r="D251" i="55"/>
  <c r="D252" i="55"/>
  <c r="D253" i="55"/>
  <c r="B33" i="55"/>
  <c r="B10" i="55"/>
  <c r="D282" i="55"/>
  <c r="D283" i="55"/>
  <c r="D284" i="55"/>
  <c r="D254" i="55"/>
  <c r="D255" i="55"/>
  <c r="D257" i="55"/>
  <c r="D258" i="55"/>
  <c r="D259" i="55"/>
  <c r="D260" i="55"/>
  <c r="D261" i="55"/>
  <c r="D262" i="55"/>
  <c r="D263" i="55"/>
  <c r="D264" i="55"/>
  <c r="D265" i="55"/>
  <c r="D266" i="55"/>
  <c r="D267" i="55"/>
  <c r="D268" i="55"/>
  <c r="D269" i="55"/>
  <c r="D270" i="55"/>
  <c r="D271" i="55"/>
  <c r="D272" i="55"/>
  <c r="D273" i="55"/>
  <c r="D274" i="55"/>
  <c r="D275" i="55"/>
  <c r="D276" i="55"/>
  <c r="D277" i="55"/>
  <c r="D278" i="55"/>
  <c r="D279" i="55"/>
  <c r="D280" i="55"/>
  <c r="E16" i="61"/>
  <c r="F7" i="61"/>
  <c r="E289" i="55"/>
  <c r="E290" i="55"/>
  <c r="E292" i="55"/>
  <c r="F49" i="61"/>
  <c r="E174" i="72"/>
  <c r="D159" i="72"/>
  <c r="D160" i="72"/>
  <c r="D161" i="72"/>
  <c r="D162" i="72"/>
  <c r="B15" i="72"/>
  <c r="B17" i="72"/>
  <c r="B19" i="72"/>
  <c r="B20" i="72"/>
  <c r="B21" i="72"/>
  <c r="B24" i="72"/>
  <c r="B26" i="72"/>
  <c r="B27" i="72"/>
  <c r="B28" i="72"/>
  <c r="B29" i="72"/>
  <c r="B30" i="72"/>
  <c r="B31" i="72"/>
  <c r="B32" i="72"/>
  <c r="D169" i="72"/>
  <c r="B12" i="72"/>
  <c r="D170" i="72"/>
  <c r="D171" i="72"/>
  <c r="B35" i="72"/>
  <c r="D172" i="72"/>
  <c r="D173" i="72"/>
  <c r="E17" i="61"/>
  <c r="F8" i="61"/>
  <c r="E179" i="72"/>
  <c r="E180" i="72"/>
  <c r="E182" i="72"/>
  <c r="F50" i="61"/>
  <c r="F43" i="48"/>
  <c r="F44" i="48"/>
  <c r="F49" i="48"/>
  <c r="F48" i="61"/>
  <c r="E29" i="42"/>
  <c r="E27" i="42"/>
  <c r="E28" i="42"/>
  <c r="E34" i="42"/>
  <c r="F51" i="61"/>
  <c r="E169" i="84"/>
  <c r="E177" i="84"/>
  <c r="F52" i="61"/>
  <c r="F54" i="61"/>
  <c r="F55" i="61"/>
  <c r="D11" i="68"/>
  <c r="D27" i="68"/>
  <c r="D28" i="68"/>
  <c r="C8" i="21"/>
  <c r="C9" i="21"/>
  <c r="C12" i="21"/>
  <c r="C11" i="21"/>
  <c r="C10" i="21"/>
  <c r="C13" i="21"/>
  <c r="C15" i="21"/>
  <c r="C18" i="21"/>
  <c r="C19" i="21"/>
  <c r="C22" i="21"/>
  <c r="C21" i="21"/>
  <c r="C20" i="21"/>
  <c r="C23" i="21"/>
  <c r="C25" i="21"/>
  <c r="F52" i="48"/>
  <c r="F56" i="48"/>
  <c r="C31" i="21"/>
  <c r="E265" i="53"/>
  <c r="E266" i="53"/>
  <c r="E267" i="53"/>
  <c r="E268" i="53"/>
  <c r="E273" i="53"/>
  <c r="C32" i="21"/>
  <c r="E294" i="55"/>
  <c r="E301" i="55"/>
  <c r="C28" i="21"/>
  <c r="F8" i="22"/>
  <c r="F9" i="22"/>
  <c r="F10" i="22"/>
  <c r="F11" i="22"/>
  <c r="F12" i="22"/>
  <c r="F13" i="22"/>
  <c r="F14" i="22"/>
  <c r="F15" i="22"/>
  <c r="F16" i="22"/>
  <c r="F17" i="22"/>
  <c r="F18" i="22"/>
  <c r="F19" i="22"/>
  <c r="F20" i="22"/>
  <c r="F21" i="22"/>
  <c r="F22" i="22"/>
  <c r="F23" i="22"/>
  <c r="F24" i="22"/>
  <c r="C35" i="21"/>
  <c r="E185" i="72"/>
  <c r="E190" i="72"/>
  <c r="C29" i="21"/>
  <c r="E37" i="42"/>
  <c r="E43" i="42"/>
  <c r="C30" i="21"/>
  <c r="E180" i="84"/>
  <c r="E181" i="84"/>
  <c r="E185" i="84"/>
  <c r="C33" i="21"/>
  <c r="C36" i="21"/>
  <c r="C38" i="21"/>
  <c r="C40" i="21"/>
  <c r="D45" i="22"/>
  <c r="D51" i="22"/>
  <c r="D57" i="22"/>
  <c r="D63" i="22"/>
  <c r="D87" i="22"/>
  <c r="C43" i="21"/>
  <c r="D130" i="53"/>
  <c r="D131" i="53"/>
  <c r="D132" i="53"/>
  <c r="D133" i="53"/>
  <c r="D134" i="53"/>
  <c r="D135" i="53"/>
  <c r="D136" i="53"/>
  <c r="D137" i="53"/>
  <c r="D139" i="53"/>
  <c r="D140" i="53"/>
  <c r="D141" i="53"/>
  <c r="D142" i="53"/>
  <c r="D143" i="53"/>
  <c r="D144" i="53"/>
  <c r="D145" i="53"/>
  <c r="D146" i="53"/>
  <c r="D148" i="53"/>
  <c r="D149" i="53"/>
  <c r="D150" i="53"/>
  <c r="D182" i="53"/>
  <c r="D183" i="53"/>
  <c r="D184" i="53"/>
  <c r="D187" i="53"/>
  <c r="D188" i="53"/>
  <c r="D151" i="53"/>
  <c r="D152" i="53"/>
  <c r="D154" i="53"/>
  <c r="D155" i="53"/>
  <c r="D156" i="53"/>
  <c r="D157" i="53"/>
  <c r="D158" i="53"/>
  <c r="D159" i="53"/>
  <c r="D160" i="53"/>
  <c r="D161" i="53"/>
  <c r="D162" i="53"/>
  <c r="D163" i="53"/>
  <c r="D164" i="53"/>
  <c r="D165" i="53"/>
  <c r="D166" i="53"/>
  <c r="D167" i="53"/>
  <c r="D168" i="53"/>
  <c r="D169" i="53"/>
  <c r="D170" i="53"/>
  <c r="D171" i="53"/>
  <c r="D172" i="53"/>
  <c r="D173" i="53"/>
  <c r="D174" i="53"/>
  <c r="D175" i="53"/>
  <c r="D176" i="53"/>
  <c r="D177" i="53"/>
  <c r="D178" i="53"/>
  <c r="D191" i="53"/>
  <c r="E34" i="61"/>
  <c r="D178" i="55"/>
  <c r="D179" i="55"/>
  <c r="D180" i="55"/>
  <c r="D181" i="55"/>
  <c r="D182" i="55"/>
  <c r="D183" i="55"/>
  <c r="D184" i="55"/>
  <c r="D185" i="55"/>
  <c r="D186" i="55"/>
  <c r="D187" i="55"/>
  <c r="D188" i="55"/>
  <c r="D189" i="55"/>
  <c r="D190" i="55"/>
  <c r="D191" i="55"/>
  <c r="D192" i="55"/>
  <c r="D193" i="55"/>
  <c r="D194" i="55"/>
  <c r="D195" i="55"/>
  <c r="D196" i="55"/>
  <c r="D197" i="55"/>
  <c r="D198" i="55"/>
  <c r="B65" i="55"/>
  <c r="D200" i="55"/>
  <c r="D199" i="55"/>
  <c r="D203" i="55"/>
  <c r="D204" i="55"/>
  <c r="D205" i="55"/>
  <c r="D206" i="55"/>
  <c r="D207" i="55"/>
  <c r="D208" i="55"/>
  <c r="D209" i="55"/>
  <c r="D210" i="55"/>
  <c r="D211" i="55"/>
  <c r="D212" i="55"/>
  <c r="D213" i="55"/>
  <c r="D214" i="55"/>
  <c r="D215" i="55"/>
  <c r="D216" i="55"/>
  <c r="D217" i="55"/>
  <c r="D218" i="55"/>
  <c r="D219" i="55"/>
  <c r="D220" i="55"/>
  <c r="D221" i="55"/>
  <c r="D222" i="55"/>
  <c r="D223" i="55"/>
  <c r="D224" i="55"/>
  <c r="D225" i="55"/>
  <c r="D226" i="55"/>
  <c r="D227" i="55"/>
  <c r="D229" i="55"/>
  <c r="E36" i="61"/>
  <c r="D153" i="72"/>
  <c r="D155" i="72"/>
  <c r="E37" i="61"/>
  <c r="E28" i="48"/>
  <c r="E29" i="48"/>
  <c r="E30" i="48"/>
  <c r="E31" i="48"/>
  <c r="E32" i="48"/>
  <c r="E33" i="48"/>
  <c r="E34" i="48"/>
  <c r="E35" i="48"/>
  <c r="E36" i="48"/>
  <c r="E37" i="48"/>
  <c r="E38" i="48"/>
  <c r="E39" i="48"/>
  <c r="E35" i="61"/>
  <c r="B10" i="42"/>
  <c r="D21" i="42"/>
  <c r="D23" i="42"/>
  <c r="E38" i="61"/>
  <c r="D154" i="84"/>
  <c r="D155" i="84"/>
  <c r="D156" i="84"/>
  <c r="D159" i="84"/>
  <c r="E39" i="61"/>
  <c r="E41" i="61"/>
  <c r="B74" i="83"/>
  <c r="B13" i="84"/>
  <c r="B14" i="84"/>
  <c r="B15" i="84"/>
  <c r="B16" i="84"/>
  <c r="B17" i="84"/>
  <c r="B18" i="84"/>
  <c r="B19" i="84"/>
  <c r="B20" i="84"/>
  <c r="B21" i="84"/>
  <c r="B22" i="84"/>
  <c r="B23" i="84"/>
  <c r="B24" i="84"/>
  <c r="B25" i="84"/>
  <c r="B26" i="84"/>
  <c r="B27" i="84"/>
  <c r="B28" i="84"/>
  <c r="B29" i="84"/>
  <c r="B30" i="84"/>
  <c r="B31" i="84"/>
  <c r="B32" i="84"/>
  <c r="B33" i="84"/>
  <c r="B35" i="84"/>
  <c r="B36" i="84"/>
  <c r="B37" i="84"/>
  <c r="B39" i="84"/>
  <c r="B12" i="84"/>
  <c r="D166" i="84"/>
  <c r="D163" i="84"/>
  <c r="D164" i="84"/>
  <c r="D165" i="84"/>
  <c r="D167" i="84"/>
  <c r="D168" i="84"/>
  <c r="E18" i="61"/>
  <c r="E21" i="61"/>
  <c r="E42" i="61"/>
  <c r="E44" i="61"/>
  <c r="D253" i="53"/>
  <c r="D254" i="53"/>
  <c r="D260" i="53"/>
  <c r="D262" i="53"/>
  <c r="E47" i="61"/>
  <c r="D285" i="55"/>
  <c r="D290" i="55"/>
  <c r="D292" i="55"/>
  <c r="E49" i="61"/>
  <c r="D174" i="72"/>
  <c r="D180" i="72"/>
  <c r="D182" i="72"/>
  <c r="E50" i="61"/>
  <c r="E43" i="48"/>
  <c r="E44" i="48"/>
  <c r="E49" i="48"/>
  <c r="E48" i="61"/>
  <c r="D29" i="42"/>
  <c r="D27" i="42"/>
  <c r="D28" i="42"/>
  <c r="D34" i="42"/>
  <c r="E51" i="61"/>
  <c r="D169" i="84"/>
  <c r="D177" i="84"/>
  <c r="E52" i="61"/>
  <c r="E54" i="61"/>
  <c r="E55" i="61"/>
  <c r="C11" i="68"/>
  <c r="C27" i="68"/>
  <c r="C28" i="68"/>
  <c r="B8" i="21"/>
  <c r="B9" i="21"/>
  <c r="B12" i="21"/>
  <c r="B11" i="21"/>
  <c r="B10" i="21"/>
  <c r="B13" i="21"/>
  <c r="B15" i="21"/>
  <c r="B18" i="21"/>
  <c r="B19" i="21"/>
  <c r="B22" i="21"/>
  <c r="B21" i="21"/>
  <c r="B20" i="21"/>
  <c r="B23" i="21"/>
  <c r="B25" i="21"/>
  <c r="E52" i="48"/>
  <c r="E56" i="48"/>
  <c r="B31" i="21"/>
  <c r="D265" i="53"/>
  <c r="D266" i="53"/>
  <c r="D267" i="53"/>
  <c r="D268" i="53"/>
  <c r="D273" i="53"/>
  <c r="B32" i="21"/>
  <c r="D294" i="55"/>
  <c r="D301" i="55"/>
  <c r="B28" i="21"/>
  <c r="E8" i="22"/>
  <c r="E9" i="22"/>
  <c r="E10" i="22"/>
  <c r="E11" i="22"/>
  <c r="E12" i="22"/>
  <c r="E13" i="22"/>
  <c r="E14" i="22"/>
  <c r="E15" i="22"/>
  <c r="E16" i="22"/>
  <c r="E17" i="22"/>
  <c r="E18" i="22"/>
  <c r="E19" i="22"/>
  <c r="E20" i="22"/>
  <c r="E21" i="22"/>
  <c r="E22" i="22"/>
  <c r="E23" i="22"/>
  <c r="E24" i="22"/>
  <c r="B35" i="21"/>
  <c r="D185" i="72"/>
  <c r="D190" i="72"/>
  <c r="B29" i="21"/>
  <c r="D37" i="42"/>
  <c r="D43" i="42"/>
  <c r="B30" i="21"/>
  <c r="D180" i="84"/>
  <c r="D181" i="84"/>
  <c r="D185" i="84"/>
  <c r="B33" i="21"/>
  <c r="B36" i="21"/>
  <c r="B38" i="21"/>
  <c r="B40" i="21"/>
  <c r="C45" i="22"/>
  <c r="C51" i="22"/>
  <c r="C57" i="22"/>
  <c r="C63" i="22"/>
  <c r="C87" i="22"/>
  <c r="B43" i="21"/>
  <c r="J6" i="57"/>
  <c r="E56" i="61"/>
  <c r="D11" i="62"/>
  <c r="F6" i="62"/>
  <c r="F7" i="62"/>
  <c r="F8" i="62"/>
  <c r="F9" i="62"/>
  <c r="F10" i="62"/>
  <c r="B9" i="68"/>
  <c r="B66" i="83"/>
  <c r="B65" i="83"/>
  <c r="B64" i="83"/>
  <c r="J41" i="21"/>
  <c r="C10" i="62"/>
  <c r="C9" i="62"/>
  <c r="C8" i="62"/>
  <c r="C7" i="62"/>
  <c r="C6" i="62"/>
  <c r="C5" i="62"/>
  <c r="I22" i="68"/>
  <c r="H22" i="68"/>
  <c r="G22" i="68"/>
  <c r="F22" i="68"/>
  <c r="E22" i="68"/>
  <c r="D22" i="68"/>
  <c r="C22" i="68"/>
  <c r="A42" i="81"/>
  <c r="A67" i="81"/>
  <c r="A92" i="81"/>
  <c r="A9" i="53"/>
  <c r="A130" i="53"/>
  <c r="A197" i="53"/>
  <c r="A67" i="83"/>
  <c r="A95" i="83"/>
  <c r="A123" i="83"/>
  <c r="A54" i="53"/>
  <c r="A175" i="53"/>
  <c r="A66" i="83"/>
  <c r="A94" i="83"/>
  <c r="A122" i="83"/>
  <c r="A53" i="53"/>
  <c r="A174" i="53"/>
  <c r="A65" i="83"/>
  <c r="A93" i="83"/>
  <c r="A121" i="83"/>
  <c r="A52" i="53"/>
  <c r="A173" i="53"/>
  <c r="A64" i="83"/>
  <c r="A92" i="83"/>
  <c r="A120" i="83"/>
  <c r="A51" i="53"/>
  <c r="A172" i="53"/>
  <c r="A107" i="53"/>
  <c r="A106" i="53"/>
  <c r="A105" i="53"/>
  <c r="A104" i="53"/>
  <c r="A62" i="53"/>
  <c r="B87" i="81"/>
  <c r="C87" i="81"/>
  <c r="D87" i="81"/>
  <c r="E87" i="81"/>
  <c r="F87" i="81"/>
  <c r="G87" i="81"/>
  <c r="H87" i="81"/>
  <c r="B86" i="81"/>
  <c r="C86" i="81"/>
  <c r="D86" i="81"/>
  <c r="E86" i="81"/>
  <c r="F86" i="81"/>
  <c r="G86" i="81"/>
  <c r="H86" i="81"/>
  <c r="A13" i="72"/>
  <c r="A37" i="72"/>
  <c r="K9" i="61"/>
  <c r="J9" i="61"/>
  <c r="I9" i="61"/>
  <c r="H9" i="61"/>
  <c r="G9" i="61"/>
  <c r="F9" i="61"/>
  <c r="C9" i="61"/>
  <c r="C17" i="61"/>
  <c r="H62" i="57"/>
  <c r="V11" i="61"/>
  <c r="V8" i="61"/>
  <c r="V9" i="61"/>
  <c r="V10" i="61"/>
  <c r="V12" i="61"/>
  <c r="V13" i="61"/>
  <c r="V16" i="61"/>
  <c r="U13" i="61"/>
  <c r="U12" i="61"/>
  <c r="U10" i="61"/>
  <c r="U11" i="61"/>
  <c r="U9" i="61"/>
  <c r="O13" i="61"/>
  <c r="N13" i="61"/>
  <c r="O12" i="61"/>
  <c r="N12" i="61"/>
  <c r="O11" i="61"/>
  <c r="P11" i="61"/>
  <c r="Q11" i="61"/>
  <c r="R11" i="61"/>
  <c r="N11" i="61"/>
  <c r="N10" i="61"/>
  <c r="O10" i="61"/>
  <c r="O9" i="61"/>
  <c r="P9" i="61"/>
  <c r="Q9" i="61"/>
  <c r="R9" i="61"/>
  <c r="N9" i="61"/>
  <c r="R8" i="61"/>
  <c r="Q8" i="61"/>
  <c r="P8" i="61"/>
  <c r="O8" i="61"/>
  <c r="P10" i="61"/>
  <c r="Q10" i="61"/>
  <c r="R10" i="61"/>
  <c r="P12" i="61"/>
  <c r="Q12" i="61"/>
  <c r="R12" i="61"/>
  <c r="P13" i="61"/>
  <c r="Q13" i="61"/>
  <c r="R13" i="61"/>
  <c r="R16" i="61"/>
  <c r="Q16" i="61"/>
  <c r="P16" i="61"/>
  <c r="O16" i="61"/>
  <c r="F12" i="61"/>
  <c r="G12" i="61"/>
  <c r="H12" i="61"/>
  <c r="I12" i="61"/>
  <c r="J12" i="61"/>
  <c r="K12" i="61"/>
  <c r="C15" i="61"/>
  <c r="C16" i="61"/>
  <c r="I135" i="29"/>
  <c r="H135" i="29"/>
  <c r="G135" i="29"/>
  <c r="F135" i="29"/>
  <c r="E135" i="29"/>
  <c r="D135" i="29"/>
  <c r="C135" i="29"/>
  <c r="I165" i="29"/>
  <c r="H165" i="29"/>
  <c r="G165" i="29"/>
  <c r="F165" i="29"/>
  <c r="E165" i="29"/>
  <c r="D165" i="29"/>
  <c r="C165" i="29"/>
  <c r="I150" i="29"/>
  <c r="H150" i="29"/>
  <c r="G150" i="29"/>
  <c r="F150" i="29"/>
  <c r="E150" i="29"/>
  <c r="D150" i="29"/>
  <c r="C150" i="29"/>
  <c r="I180" i="29"/>
  <c r="H180" i="29"/>
  <c r="G180" i="29"/>
  <c r="F180" i="29"/>
  <c r="E180" i="29"/>
  <c r="D180" i="29"/>
  <c r="C180" i="29"/>
  <c r="I170" i="29"/>
  <c r="I171" i="29"/>
  <c r="I174" i="29"/>
  <c r="I175" i="29"/>
  <c r="I173" i="29"/>
  <c r="I172" i="29"/>
  <c r="I176" i="29"/>
  <c r="I177" i="29"/>
  <c r="H170" i="29"/>
  <c r="H171" i="29"/>
  <c r="H174" i="29"/>
  <c r="H175" i="29"/>
  <c r="H173" i="29"/>
  <c r="H172" i="29"/>
  <c r="H176" i="29"/>
  <c r="H177" i="29"/>
  <c r="G170" i="29"/>
  <c r="G171" i="29"/>
  <c r="G174" i="29"/>
  <c r="G175" i="29"/>
  <c r="G173" i="29"/>
  <c r="G172" i="29"/>
  <c r="G176" i="29"/>
  <c r="G177" i="29"/>
  <c r="F170" i="29"/>
  <c r="F171" i="29"/>
  <c r="F174" i="29"/>
  <c r="F175" i="29"/>
  <c r="F173" i="29"/>
  <c r="F172" i="29"/>
  <c r="F176" i="29"/>
  <c r="F177" i="29"/>
  <c r="E170" i="29"/>
  <c r="E171" i="29"/>
  <c r="E174" i="29"/>
  <c r="E175" i="29"/>
  <c r="E173" i="29"/>
  <c r="E172" i="29"/>
  <c r="E176" i="29"/>
  <c r="E177" i="29"/>
  <c r="D170" i="29"/>
  <c r="D171" i="29"/>
  <c r="D174" i="29"/>
  <c r="D175" i="29"/>
  <c r="D173" i="29"/>
  <c r="D172" i="29"/>
  <c r="D176" i="29"/>
  <c r="D177" i="29"/>
  <c r="C170" i="29"/>
  <c r="C171" i="29"/>
  <c r="C174" i="29"/>
  <c r="C175" i="29"/>
  <c r="C173" i="29"/>
  <c r="C172" i="29"/>
  <c r="C176" i="29"/>
  <c r="C177" i="29"/>
  <c r="B131" i="29"/>
  <c r="B146" i="29"/>
  <c r="B161" i="29"/>
  <c r="B176" i="29"/>
  <c r="B130" i="29"/>
  <c r="B145" i="29"/>
  <c r="B160" i="29"/>
  <c r="B175" i="29"/>
  <c r="I155" i="29"/>
  <c r="I156" i="29"/>
  <c r="I157" i="29"/>
  <c r="I158" i="29"/>
  <c r="I159" i="29"/>
  <c r="I160" i="29"/>
  <c r="I161" i="29"/>
  <c r="I162" i="29"/>
  <c r="H155" i="29"/>
  <c r="H156" i="29"/>
  <c r="H157" i="29"/>
  <c r="H158" i="29"/>
  <c r="H159" i="29"/>
  <c r="H160" i="29"/>
  <c r="H161" i="29"/>
  <c r="H162" i="29"/>
  <c r="G155" i="29"/>
  <c r="G156" i="29"/>
  <c r="G157" i="29"/>
  <c r="G158" i="29"/>
  <c r="G159" i="29"/>
  <c r="G160" i="29"/>
  <c r="G161" i="29"/>
  <c r="G162" i="29"/>
  <c r="F155" i="29"/>
  <c r="F156" i="29"/>
  <c r="F157" i="29"/>
  <c r="F158" i="29"/>
  <c r="F159" i="29"/>
  <c r="F160" i="29"/>
  <c r="F161" i="29"/>
  <c r="F162" i="29"/>
  <c r="E155" i="29"/>
  <c r="E156" i="29"/>
  <c r="E157" i="29"/>
  <c r="E158" i="29"/>
  <c r="E159" i="29"/>
  <c r="E160" i="29"/>
  <c r="E161" i="29"/>
  <c r="E162" i="29"/>
  <c r="D155" i="29"/>
  <c r="D156" i="29"/>
  <c r="D157" i="29"/>
  <c r="D158" i="29"/>
  <c r="D159" i="29"/>
  <c r="D160" i="29"/>
  <c r="D161" i="29"/>
  <c r="D162" i="29"/>
  <c r="C155" i="29"/>
  <c r="C156" i="29"/>
  <c r="C157" i="29"/>
  <c r="C158" i="29"/>
  <c r="C159" i="29"/>
  <c r="C160" i="29"/>
  <c r="C161" i="29"/>
  <c r="C162" i="29"/>
  <c r="I140" i="29"/>
  <c r="I141" i="29"/>
  <c r="I142" i="29"/>
  <c r="I143" i="29"/>
  <c r="I144" i="29"/>
  <c r="I145" i="29"/>
  <c r="I146" i="29"/>
  <c r="I147" i="29"/>
  <c r="H140" i="29"/>
  <c r="H141" i="29"/>
  <c r="H142" i="29"/>
  <c r="H143" i="29"/>
  <c r="H144" i="29"/>
  <c r="H145" i="29"/>
  <c r="H146" i="29"/>
  <c r="H147" i="29"/>
  <c r="G140" i="29"/>
  <c r="G141" i="29"/>
  <c r="G142" i="29"/>
  <c r="G143" i="29"/>
  <c r="G144" i="29"/>
  <c r="G145" i="29"/>
  <c r="G146" i="29"/>
  <c r="G147" i="29"/>
  <c r="F140" i="29"/>
  <c r="F141" i="29"/>
  <c r="F142" i="29"/>
  <c r="F143" i="29"/>
  <c r="F144" i="29"/>
  <c r="F145" i="29"/>
  <c r="F146" i="29"/>
  <c r="F147" i="29"/>
  <c r="E140" i="29"/>
  <c r="E141" i="29"/>
  <c r="E142" i="29"/>
  <c r="E143" i="29"/>
  <c r="E144" i="29"/>
  <c r="E145" i="29"/>
  <c r="E146" i="29"/>
  <c r="E147" i="29"/>
  <c r="D140" i="29"/>
  <c r="D141" i="29"/>
  <c r="D142" i="29"/>
  <c r="D143" i="29"/>
  <c r="D144" i="29"/>
  <c r="D145" i="29"/>
  <c r="D146" i="29"/>
  <c r="D147" i="29"/>
  <c r="C140" i="29"/>
  <c r="C141" i="29"/>
  <c r="C142" i="29"/>
  <c r="C143" i="29"/>
  <c r="C144" i="29"/>
  <c r="C145" i="29"/>
  <c r="C146" i="29"/>
  <c r="C147" i="29"/>
  <c r="I125" i="29"/>
  <c r="I126" i="29"/>
  <c r="I127" i="29"/>
  <c r="I128" i="29"/>
  <c r="I129" i="29"/>
  <c r="I130" i="29"/>
  <c r="I131" i="29"/>
  <c r="I132" i="29"/>
  <c r="H125" i="29"/>
  <c r="H126" i="29"/>
  <c r="H127" i="29"/>
  <c r="H128" i="29"/>
  <c r="H129" i="29"/>
  <c r="H130" i="29"/>
  <c r="H131" i="29"/>
  <c r="H132" i="29"/>
  <c r="G125" i="29"/>
  <c r="G126" i="29"/>
  <c r="G127" i="29"/>
  <c r="G128" i="29"/>
  <c r="G129" i="29"/>
  <c r="G130" i="29"/>
  <c r="G131" i="29"/>
  <c r="G132" i="29"/>
  <c r="F125" i="29"/>
  <c r="F126" i="29"/>
  <c r="F127" i="29"/>
  <c r="F128" i="29"/>
  <c r="F129" i="29"/>
  <c r="F130" i="29"/>
  <c r="F131" i="29"/>
  <c r="F132" i="29"/>
  <c r="E125" i="29"/>
  <c r="E126" i="29"/>
  <c r="E127" i="29"/>
  <c r="E128" i="29"/>
  <c r="E129" i="29"/>
  <c r="E130" i="29"/>
  <c r="E131" i="29"/>
  <c r="E132" i="29"/>
  <c r="D125" i="29"/>
  <c r="D126" i="29"/>
  <c r="D127" i="29"/>
  <c r="D128" i="29"/>
  <c r="D129" i="29"/>
  <c r="D130" i="29"/>
  <c r="D131" i="29"/>
  <c r="D132" i="29"/>
  <c r="C131" i="29"/>
  <c r="C125" i="29"/>
  <c r="C126" i="29"/>
  <c r="C127" i="29"/>
  <c r="C128" i="29"/>
  <c r="C129" i="29"/>
  <c r="C130" i="29"/>
  <c r="C132" i="29"/>
  <c r="B129" i="29"/>
  <c r="B128" i="29"/>
  <c r="B127" i="29"/>
  <c r="B126" i="29"/>
  <c r="B125" i="29"/>
  <c r="I32" i="29"/>
  <c r="I33" i="29"/>
  <c r="I34" i="29"/>
  <c r="I35" i="29"/>
  <c r="I36" i="29"/>
  <c r="I37" i="29"/>
  <c r="I39" i="29"/>
  <c r="H32" i="29"/>
  <c r="H33" i="29"/>
  <c r="H34" i="29"/>
  <c r="H35" i="29"/>
  <c r="H36" i="29"/>
  <c r="H37" i="29"/>
  <c r="H39" i="29"/>
  <c r="G32" i="29"/>
  <c r="G33" i="29"/>
  <c r="G34" i="29"/>
  <c r="G35" i="29"/>
  <c r="G36" i="29"/>
  <c r="G37" i="29"/>
  <c r="G39" i="29"/>
  <c r="F32" i="29"/>
  <c r="F33" i="29"/>
  <c r="F34" i="29"/>
  <c r="F35" i="29"/>
  <c r="F36" i="29"/>
  <c r="F37" i="29"/>
  <c r="F39" i="29"/>
  <c r="E32" i="29"/>
  <c r="E33" i="29"/>
  <c r="E34" i="29"/>
  <c r="E35" i="29"/>
  <c r="E36" i="29"/>
  <c r="E37" i="29"/>
  <c r="E39" i="29"/>
  <c r="D32" i="29"/>
  <c r="D33" i="29"/>
  <c r="D34" i="29"/>
  <c r="D35" i="29"/>
  <c r="D36" i="29"/>
  <c r="D37" i="29"/>
  <c r="D39" i="29"/>
  <c r="C32" i="29"/>
  <c r="C33" i="29"/>
  <c r="C34" i="29"/>
  <c r="C35" i="29"/>
  <c r="C36" i="29"/>
  <c r="C37" i="29"/>
  <c r="C39" i="29"/>
  <c r="B37" i="29"/>
  <c r="B36" i="29"/>
  <c r="B35" i="29"/>
  <c r="B34" i="29"/>
  <c r="B33" i="29"/>
  <c r="B32" i="29"/>
  <c r="C52" i="61"/>
  <c r="C51" i="61"/>
  <c r="C50" i="61"/>
  <c r="C49" i="61"/>
  <c r="C48" i="61"/>
  <c r="C47" i="61"/>
  <c r="A23" i="21"/>
  <c r="A33" i="21"/>
  <c r="A156" i="84"/>
  <c r="A155" i="84"/>
  <c r="A154" i="84"/>
  <c r="A34" i="84"/>
  <c r="A33" i="84"/>
  <c r="A32" i="84"/>
  <c r="A31" i="84"/>
  <c r="A55" i="55"/>
  <c r="A112" i="55"/>
  <c r="A164" i="55"/>
  <c r="A223" i="55"/>
  <c r="A54" i="55"/>
  <c r="A111" i="55"/>
  <c r="A163" i="55"/>
  <c r="A222" i="55"/>
  <c r="A53" i="55"/>
  <c r="A110" i="55"/>
  <c r="A162" i="55"/>
  <c r="A221" i="55"/>
  <c r="A56" i="55"/>
  <c r="A113" i="55"/>
  <c r="A165" i="55"/>
  <c r="A224" i="55"/>
  <c r="C66" i="83"/>
  <c r="D66" i="83"/>
  <c r="E66" i="83"/>
  <c r="F66" i="83"/>
  <c r="G66" i="83"/>
  <c r="H66" i="83"/>
  <c r="C65" i="83"/>
  <c r="D65" i="83"/>
  <c r="E65" i="83"/>
  <c r="F65" i="83"/>
  <c r="G65" i="83"/>
  <c r="H65" i="83"/>
  <c r="C64" i="83"/>
  <c r="D64" i="83"/>
  <c r="E64" i="83"/>
  <c r="F64" i="83"/>
  <c r="G64" i="83"/>
  <c r="H64" i="83"/>
  <c r="A179" i="53"/>
  <c r="A243" i="53"/>
  <c r="A70" i="83"/>
  <c r="A98" i="83"/>
  <c r="A126" i="83"/>
  <c r="A57" i="53"/>
  <c r="A178" i="53"/>
  <c r="A242" i="53"/>
  <c r="A69" i="83"/>
  <c r="A97" i="83"/>
  <c r="A125" i="83"/>
  <c r="A56" i="53"/>
  <c r="A177" i="53"/>
  <c r="A241" i="53"/>
  <c r="A68" i="83"/>
  <c r="A96" i="83"/>
  <c r="A124" i="83"/>
  <c r="A55" i="53"/>
  <c r="A176" i="53"/>
  <c r="A240" i="53"/>
  <c r="A239" i="53"/>
  <c r="A63" i="83"/>
  <c r="A91" i="83"/>
  <c r="A119" i="83"/>
  <c r="A50" i="53"/>
  <c r="A171" i="53"/>
  <c r="A238" i="53"/>
  <c r="A62" i="83"/>
  <c r="A90" i="83"/>
  <c r="A118" i="83"/>
  <c r="A49" i="53"/>
  <c r="A170" i="53"/>
  <c r="A237" i="53"/>
  <c r="A61" i="83"/>
  <c r="A89" i="83"/>
  <c r="A117" i="83"/>
  <c r="A48" i="53"/>
  <c r="A169" i="53"/>
  <c r="A236" i="53"/>
  <c r="A60" i="83"/>
  <c r="A88" i="83"/>
  <c r="A116" i="83"/>
  <c r="A47" i="53"/>
  <c r="A168" i="53"/>
  <c r="A235" i="53"/>
  <c r="A59" i="83"/>
  <c r="A87" i="83"/>
  <c r="A115" i="83"/>
  <c r="A46" i="53"/>
  <c r="A167" i="53"/>
  <c r="A234" i="53"/>
  <c r="A58" i="83"/>
  <c r="A86" i="83"/>
  <c r="A114" i="83"/>
  <c r="A45" i="53"/>
  <c r="A166" i="53"/>
  <c r="A233" i="53"/>
  <c r="A57" i="83"/>
  <c r="A85" i="83"/>
  <c r="A113" i="83"/>
  <c r="A44" i="53"/>
  <c r="A165" i="53"/>
  <c r="A232" i="53"/>
  <c r="A56" i="83"/>
  <c r="A84" i="83"/>
  <c r="A112" i="83"/>
  <c r="A43" i="53"/>
  <c r="A164" i="53"/>
  <c r="A231" i="53"/>
  <c r="A55" i="83"/>
  <c r="A83" i="83"/>
  <c r="A111" i="83"/>
  <c r="A42" i="53"/>
  <c r="A163" i="53"/>
  <c r="A230" i="53"/>
  <c r="A54" i="83"/>
  <c r="A82" i="83"/>
  <c r="A110" i="83"/>
  <c r="A41" i="53"/>
  <c r="A162" i="53"/>
  <c r="A229" i="53"/>
  <c r="A53" i="83"/>
  <c r="A81" i="83"/>
  <c r="A109" i="83"/>
  <c r="A40" i="53"/>
  <c r="A161" i="53"/>
  <c r="A228" i="53"/>
  <c r="A52" i="83"/>
  <c r="A80" i="83"/>
  <c r="A108" i="83"/>
  <c r="A39" i="53"/>
  <c r="A160" i="53"/>
  <c r="A227" i="53"/>
  <c r="A51" i="83"/>
  <c r="A79" i="83"/>
  <c r="A107" i="83"/>
  <c r="A38" i="53"/>
  <c r="A159" i="53"/>
  <c r="A226" i="53"/>
  <c r="A50" i="83"/>
  <c r="A78" i="83"/>
  <c r="A106" i="83"/>
  <c r="A37" i="53"/>
  <c r="A158" i="53"/>
  <c r="A225" i="53"/>
  <c r="A49" i="83"/>
  <c r="A77" i="83"/>
  <c r="A105" i="83"/>
  <c r="A36" i="53"/>
  <c r="A157" i="53"/>
  <c r="A224" i="53"/>
  <c r="A48" i="83"/>
  <c r="A76" i="83"/>
  <c r="A104" i="83"/>
  <c r="A35" i="53"/>
  <c r="A156" i="53"/>
  <c r="A223" i="53"/>
  <c r="A47" i="83"/>
  <c r="A75" i="83"/>
  <c r="A103" i="83"/>
  <c r="A34" i="53"/>
  <c r="A155" i="53"/>
  <c r="A222" i="53"/>
  <c r="A46" i="83"/>
  <c r="A74" i="83"/>
  <c r="A102" i="83"/>
  <c r="A33" i="53"/>
  <c r="A154" i="53"/>
  <c r="A221" i="53"/>
  <c r="A32" i="53"/>
  <c r="A153" i="53"/>
  <c r="A220" i="53"/>
  <c r="A110" i="53"/>
  <c r="A109" i="53"/>
  <c r="A108" i="53"/>
  <c r="A103" i="53"/>
  <c r="A102" i="53"/>
  <c r="A101" i="53"/>
  <c r="A100" i="53"/>
  <c r="A99" i="53"/>
  <c r="A98" i="53"/>
  <c r="A97" i="53"/>
  <c r="A96" i="53"/>
  <c r="A95" i="53"/>
  <c r="A94" i="53"/>
  <c r="A93" i="53"/>
  <c r="A92" i="53"/>
  <c r="A91" i="53"/>
  <c r="A90" i="53"/>
  <c r="A89" i="53"/>
  <c r="A88" i="53"/>
  <c r="A87" i="53"/>
  <c r="A86" i="53"/>
  <c r="A31" i="53"/>
  <c r="A62" i="81"/>
  <c r="A87" i="81"/>
  <c r="A112" i="81"/>
  <c r="A30" i="53"/>
  <c r="A61" i="81"/>
  <c r="A86" i="81"/>
  <c r="A111" i="81"/>
  <c r="A29" i="53"/>
  <c r="A60" i="81"/>
  <c r="A85" i="81"/>
  <c r="A110" i="81"/>
  <c r="A28" i="53"/>
  <c r="A43" i="81"/>
  <c r="A68" i="81"/>
  <c r="A14" i="72"/>
  <c r="A38" i="72"/>
  <c r="A63" i="72"/>
  <c r="A34" i="55"/>
  <c r="A35" i="55"/>
  <c r="A36" i="55"/>
  <c r="A37" i="55"/>
  <c r="A38" i="55"/>
  <c r="A39" i="55"/>
  <c r="A40" i="55"/>
  <c r="A41" i="55"/>
  <c r="A42" i="55"/>
  <c r="A43" i="55"/>
  <c r="A44" i="55"/>
  <c r="A45" i="55"/>
  <c r="A46" i="55"/>
  <c r="A47" i="55"/>
  <c r="A48" i="55"/>
  <c r="A49" i="55"/>
  <c r="A50" i="55"/>
  <c r="A51" i="55"/>
  <c r="A52" i="55"/>
  <c r="A57" i="55"/>
  <c r="A58" i="55"/>
  <c r="A59" i="55"/>
  <c r="B61" i="55"/>
  <c r="C61" i="55"/>
  <c r="D61" i="55"/>
  <c r="E61" i="55"/>
  <c r="F61" i="55"/>
  <c r="G61" i="55"/>
  <c r="H61" i="55"/>
  <c r="A279" i="55"/>
  <c r="A280" i="55"/>
  <c r="A116" i="55"/>
  <c r="A168" i="55"/>
  <c r="A227" i="55"/>
  <c r="A278" i="55"/>
  <c r="A115" i="55"/>
  <c r="A167" i="55"/>
  <c r="A226" i="55"/>
  <c r="A277" i="55"/>
  <c r="A114" i="55"/>
  <c r="A166" i="55"/>
  <c r="A225" i="55"/>
  <c r="A276" i="55"/>
  <c r="A275" i="55"/>
  <c r="A109" i="55"/>
  <c r="A161" i="55"/>
  <c r="A220" i="55"/>
  <c r="A274" i="55"/>
  <c r="A108" i="55"/>
  <c r="A160" i="55"/>
  <c r="A219" i="55"/>
  <c r="A273" i="55"/>
  <c r="A107" i="55"/>
  <c r="A159" i="55"/>
  <c r="A218" i="55"/>
  <c r="A272" i="55"/>
  <c r="A106" i="55"/>
  <c r="A158" i="55"/>
  <c r="A217" i="55"/>
  <c r="A271" i="55"/>
  <c r="A105" i="55"/>
  <c r="A157" i="55"/>
  <c r="A216" i="55"/>
  <c r="A270" i="55"/>
  <c r="A104" i="55"/>
  <c r="A156" i="55"/>
  <c r="A215" i="55"/>
  <c r="A269" i="55"/>
  <c r="A103" i="55"/>
  <c r="A155" i="55"/>
  <c r="A214" i="55"/>
  <c r="A268" i="55"/>
  <c r="A102" i="55"/>
  <c r="A154" i="55"/>
  <c r="A213" i="55"/>
  <c r="A267" i="55"/>
  <c r="A101" i="55"/>
  <c r="A153" i="55"/>
  <c r="A212" i="55"/>
  <c r="A266" i="55"/>
  <c r="A100" i="55"/>
  <c r="A152" i="55"/>
  <c r="A211" i="55"/>
  <c r="A265" i="55"/>
  <c r="A99" i="55"/>
  <c r="A151" i="55"/>
  <c r="A210" i="55"/>
  <c r="A264" i="55"/>
  <c r="A98" i="55"/>
  <c r="A150" i="55"/>
  <c r="A209" i="55"/>
  <c r="A263" i="55"/>
  <c r="A97" i="55"/>
  <c r="A149" i="55"/>
  <c r="A208" i="55"/>
  <c r="A262" i="55"/>
  <c r="A96" i="55"/>
  <c r="A148" i="55"/>
  <c r="A207" i="55"/>
  <c r="A261" i="55"/>
  <c r="A95" i="55"/>
  <c r="A147" i="55"/>
  <c r="A206" i="55"/>
  <c r="A260" i="55"/>
  <c r="A94" i="55"/>
  <c r="A146" i="55"/>
  <c r="A205" i="55"/>
  <c r="A259" i="55"/>
  <c r="A93" i="55"/>
  <c r="A145" i="55"/>
  <c r="A204" i="55"/>
  <c r="A258" i="55"/>
  <c r="A92" i="55"/>
  <c r="A144" i="55"/>
  <c r="A257" i="55"/>
  <c r="A91" i="55"/>
  <c r="A143" i="55"/>
  <c r="A202" i="55"/>
  <c r="A256" i="55"/>
  <c r="A255" i="55"/>
  <c r="A254" i="55"/>
  <c r="A31" i="55"/>
  <c r="A88" i="55"/>
  <c r="A140" i="55"/>
  <c r="A198" i="55"/>
  <c r="A253" i="55"/>
  <c r="A30" i="55"/>
  <c r="A87" i="55"/>
  <c r="A139" i="55"/>
  <c r="A197" i="55"/>
  <c r="A252" i="55"/>
  <c r="A29" i="55"/>
  <c r="A86" i="55"/>
  <c r="A138" i="55"/>
  <c r="A196" i="55"/>
  <c r="A251" i="55"/>
  <c r="A59" i="81"/>
  <c r="A28" i="55"/>
  <c r="A85" i="55"/>
  <c r="A137" i="55"/>
  <c r="A195" i="55"/>
  <c r="A250" i="55"/>
  <c r="A37" i="84"/>
  <c r="A65" i="84"/>
  <c r="A135" i="84"/>
  <c r="A36" i="84"/>
  <c r="A64" i="84"/>
  <c r="A131" i="84"/>
  <c r="A35" i="84"/>
  <c r="A63" i="84"/>
  <c r="A127" i="84"/>
  <c r="A13" i="84"/>
  <c r="A44" i="84"/>
  <c r="A67" i="84"/>
  <c r="H65" i="84"/>
  <c r="G65" i="84"/>
  <c r="F65" i="84"/>
  <c r="E65" i="84"/>
  <c r="D65" i="84"/>
  <c r="C65" i="84"/>
  <c r="H64" i="84"/>
  <c r="G64" i="84"/>
  <c r="F64" i="84"/>
  <c r="E64" i="84"/>
  <c r="D64" i="84"/>
  <c r="C64" i="84"/>
  <c r="H63" i="84"/>
  <c r="G63" i="84"/>
  <c r="F63" i="84"/>
  <c r="E63" i="84"/>
  <c r="D63" i="84"/>
  <c r="C63" i="84"/>
  <c r="B65" i="84"/>
  <c r="B64" i="84"/>
  <c r="B63" i="84"/>
  <c r="A62" i="84"/>
  <c r="A30" i="84"/>
  <c r="A61" i="84"/>
  <c r="A29" i="84"/>
  <c r="A60" i="84"/>
  <c r="A28" i="84"/>
  <c r="A59" i="84"/>
  <c r="A27" i="84"/>
  <c r="A58" i="84"/>
  <c r="A26" i="84"/>
  <c r="A25" i="84"/>
  <c r="A24" i="84"/>
  <c r="A23" i="84"/>
  <c r="A22" i="84"/>
  <c r="A21" i="84"/>
  <c r="A20" i="84"/>
  <c r="A19" i="84"/>
  <c r="A18" i="84"/>
  <c r="A17" i="84"/>
  <c r="A16" i="84"/>
  <c r="A15" i="84"/>
  <c r="A14" i="84"/>
  <c r="C40" i="84"/>
  <c r="D40" i="84"/>
  <c r="E40" i="84"/>
  <c r="F40" i="84"/>
  <c r="G40" i="84"/>
  <c r="H40" i="84"/>
  <c r="H41" i="84"/>
  <c r="H45" i="84"/>
  <c r="G41" i="84"/>
  <c r="G45" i="84"/>
  <c r="H46" i="84"/>
  <c r="G46" i="84"/>
  <c r="H47" i="84"/>
  <c r="G47" i="84"/>
  <c r="H44" i="84"/>
  <c r="H53" i="84"/>
  <c r="H48" i="84"/>
  <c r="H42" i="84"/>
  <c r="G39" i="72"/>
  <c r="G41" i="72"/>
  <c r="H39" i="72"/>
  <c r="H41" i="72"/>
  <c r="J186" i="84"/>
  <c r="J188" i="84"/>
  <c r="F41" i="84"/>
  <c r="F45" i="84"/>
  <c r="F46" i="84"/>
  <c r="F47" i="84"/>
  <c r="G44" i="84"/>
  <c r="G53" i="84"/>
  <c r="G48" i="84"/>
  <c r="G42" i="84"/>
  <c r="F39" i="72"/>
  <c r="F41" i="72"/>
  <c r="I186" i="84"/>
  <c r="I188" i="84"/>
  <c r="E41" i="84"/>
  <c r="E45" i="84"/>
  <c r="E46" i="84"/>
  <c r="E47" i="84"/>
  <c r="F44" i="84"/>
  <c r="F53" i="84"/>
  <c r="F48" i="84"/>
  <c r="F42" i="84"/>
  <c r="E39" i="72"/>
  <c r="E41" i="72"/>
  <c r="H186" i="84"/>
  <c r="H188" i="84"/>
  <c r="D41" i="84"/>
  <c r="D45" i="84"/>
  <c r="D46" i="84"/>
  <c r="D47" i="84"/>
  <c r="E44" i="84"/>
  <c r="E53" i="84"/>
  <c r="E48" i="84"/>
  <c r="E42" i="84"/>
  <c r="D39" i="72"/>
  <c r="D41" i="72"/>
  <c r="G186" i="84"/>
  <c r="G188" i="84"/>
  <c r="C41" i="84"/>
  <c r="C45" i="84"/>
  <c r="C46" i="84"/>
  <c r="C47" i="84"/>
  <c r="D44" i="84"/>
  <c r="D53" i="84"/>
  <c r="D48" i="84"/>
  <c r="D42" i="84"/>
  <c r="C39" i="72"/>
  <c r="C41" i="72"/>
  <c r="F186" i="84"/>
  <c r="F188" i="84"/>
  <c r="B45" i="84"/>
  <c r="B46" i="84"/>
  <c r="B47" i="84"/>
  <c r="C44" i="84"/>
  <c r="C53" i="84"/>
  <c r="C48" i="84"/>
  <c r="C42" i="84"/>
  <c r="B39" i="72"/>
  <c r="B41" i="72"/>
  <c r="E186" i="84"/>
  <c r="E188" i="84"/>
  <c r="B53" i="84"/>
  <c r="B44" i="84"/>
  <c r="B48" i="84"/>
  <c r="B42" i="84"/>
  <c r="D186" i="84"/>
  <c r="D188" i="84"/>
  <c r="A123" i="84"/>
  <c r="A122" i="84"/>
  <c r="A121" i="84"/>
  <c r="A120" i="84"/>
  <c r="A119" i="84"/>
  <c r="A57" i="84"/>
  <c r="A118" i="84"/>
  <c r="A56" i="84"/>
  <c r="A114" i="84"/>
  <c r="A55" i="84"/>
  <c r="A110" i="84"/>
  <c r="A54" i="84"/>
  <c r="A106" i="84"/>
  <c r="A53" i="84"/>
  <c r="A102" i="84"/>
  <c r="A52" i="84"/>
  <c r="A98" i="84"/>
  <c r="A51" i="84"/>
  <c r="A94" i="84"/>
  <c r="A50" i="84"/>
  <c r="A91" i="84"/>
  <c r="A49" i="84"/>
  <c r="A87" i="84"/>
  <c r="A48" i="84"/>
  <c r="A83" i="84"/>
  <c r="A47" i="84"/>
  <c r="A79" i="84"/>
  <c r="A46" i="84"/>
  <c r="A75" i="84"/>
  <c r="A45" i="84"/>
  <c r="A71" i="84"/>
  <c r="H61" i="84"/>
  <c r="G61" i="84"/>
  <c r="F61" i="84"/>
  <c r="E61" i="84"/>
  <c r="D61" i="84"/>
  <c r="C61" i="84"/>
  <c r="B61" i="84"/>
  <c r="H60" i="84"/>
  <c r="G60" i="84"/>
  <c r="F60" i="84"/>
  <c r="E60" i="84"/>
  <c r="D60" i="84"/>
  <c r="C60" i="84"/>
  <c r="B60" i="84"/>
  <c r="H59" i="84"/>
  <c r="G59" i="84"/>
  <c r="F59" i="84"/>
  <c r="E59" i="84"/>
  <c r="D59" i="84"/>
  <c r="C59" i="84"/>
  <c r="B59" i="84"/>
  <c r="H58" i="84"/>
  <c r="G58" i="84"/>
  <c r="F58" i="84"/>
  <c r="E58" i="84"/>
  <c r="D58" i="84"/>
  <c r="C58" i="84"/>
  <c r="B58" i="84"/>
  <c r="H57" i="84"/>
  <c r="G57" i="84"/>
  <c r="F57" i="84"/>
  <c r="E57" i="84"/>
  <c r="D57" i="84"/>
  <c r="C57" i="84"/>
  <c r="B57" i="84"/>
  <c r="H56" i="84"/>
  <c r="G56" i="84"/>
  <c r="F56" i="84"/>
  <c r="E56" i="84"/>
  <c r="D56" i="84"/>
  <c r="C56" i="84"/>
  <c r="B56" i="84"/>
  <c r="H55" i="84"/>
  <c r="G55" i="84"/>
  <c r="F55" i="84"/>
  <c r="E55" i="84"/>
  <c r="D55" i="84"/>
  <c r="C55" i="84"/>
  <c r="B55" i="84"/>
  <c r="H54" i="84"/>
  <c r="G54" i="84"/>
  <c r="F54" i="84"/>
  <c r="E54" i="84"/>
  <c r="D54" i="84"/>
  <c r="C54" i="84"/>
  <c r="B54" i="84"/>
  <c r="H52" i="84"/>
  <c r="G52" i="84"/>
  <c r="F52" i="84"/>
  <c r="E52" i="84"/>
  <c r="D52" i="84"/>
  <c r="C52" i="84"/>
  <c r="B52" i="84"/>
  <c r="H51" i="84"/>
  <c r="G51" i="84"/>
  <c r="F51" i="84"/>
  <c r="E51" i="84"/>
  <c r="D51" i="84"/>
  <c r="C51" i="84"/>
  <c r="B51" i="84"/>
  <c r="H50" i="84"/>
  <c r="G50" i="84"/>
  <c r="F50" i="84"/>
  <c r="E50" i="84"/>
  <c r="D50" i="84"/>
  <c r="C50" i="84"/>
  <c r="B50" i="84"/>
  <c r="H49" i="84"/>
  <c r="G49" i="84"/>
  <c r="F49" i="84"/>
  <c r="E49" i="84"/>
  <c r="D49" i="84"/>
  <c r="C49" i="84"/>
  <c r="B49" i="84"/>
  <c r="C88" i="22"/>
  <c r="D88" i="22"/>
  <c r="E88" i="22"/>
  <c r="F88" i="22"/>
  <c r="G88" i="22"/>
  <c r="H88" i="22"/>
  <c r="I88" i="22"/>
  <c r="C47" i="22"/>
  <c r="D44" i="22"/>
  <c r="D47" i="22"/>
  <c r="E44" i="22"/>
  <c r="E47" i="22"/>
  <c r="F44" i="22"/>
  <c r="F47" i="22"/>
  <c r="G44" i="22"/>
  <c r="G47" i="22"/>
  <c r="H44" i="22"/>
  <c r="H47" i="22"/>
  <c r="I44" i="22"/>
  <c r="C46" i="22"/>
  <c r="D46" i="22"/>
  <c r="E46" i="22"/>
  <c r="F46" i="22"/>
  <c r="G46" i="22"/>
  <c r="H46" i="22"/>
  <c r="I46" i="22"/>
  <c r="K46" i="22"/>
  <c r="L46" i="22"/>
  <c r="M46" i="22"/>
  <c r="N46" i="22"/>
  <c r="O46" i="22"/>
  <c r="P46" i="22"/>
  <c r="Q46" i="22"/>
  <c r="I47" i="22"/>
  <c r="Q47" i="22"/>
  <c r="C53" i="22"/>
  <c r="D50" i="22"/>
  <c r="D53" i="22"/>
  <c r="E50" i="22"/>
  <c r="E53" i="22"/>
  <c r="F50" i="22"/>
  <c r="F53" i="22"/>
  <c r="G50" i="22"/>
  <c r="G53" i="22"/>
  <c r="H50" i="22"/>
  <c r="H53" i="22"/>
  <c r="I50" i="22"/>
  <c r="C52" i="22"/>
  <c r="D52" i="22"/>
  <c r="E52" i="22"/>
  <c r="F52" i="22"/>
  <c r="G52" i="22"/>
  <c r="H52" i="22"/>
  <c r="I52" i="22"/>
  <c r="K52" i="22"/>
  <c r="L52" i="22"/>
  <c r="M52" i="22"/>
  <c r="N52" i="22"/>
  <c r="O52" i="22"/>
  <c r="P52" i="22"/>
  <c r="Q52" i="22"/>
  <c r="I53" i="22"/>
  <c r="Q53" i="22"/>
  <c r="C59" i="22"/>
  <c r="D56" i="22"/>
  <c r="D59" i="22"/>
  <c r="E56" i="22"/>
  <c r="E59" i="22"/>
  <c r="F56" i="22"/>
  <c r="F59" i="22"/>
  <c r="G56" i="22"/>
  <c r="G59" i="22"/>
  <c r="H56" i="22"/>
  <c r="H59" i="22"/>
  <c r="I56" i="22"/>
  <c r="C58" i="22"/>
  <c r="D58" i="22"/>
  <c r="E58" i="22"/>
  <c r="F58" i="22"/>
  <c r="G58" i="22"/>
  <c r="H58" i="22"/>
  <c r="I58" i="22"/>
  <c r="K58" i="22"/>
  <c r="L58" i="22"/>
  <c r="M58" i="22"/>
  <c r="N58" i="22"/>
  <c r="O58" i="22"/>
  <c r="P58" i="22"/>
  <c r="Q58" i="22"/>
  <c r="I59" i="22"/>
  <c r="Q59" i="22"/>
  <c r="A62" i="22"/>
  <c r="C65" i="22"/>
  <c r="D62" i="22"/>
  <c r="D65" i="22"/>
  <c r="E62" i="22"/>
  <c r="E65" i="22"/>
  <c r="F62" i="22"/>
  <c r="F65" i="22"/>
  <c r="G62" i="22"/>
  <c r="G65" i="22"/>
  <c r="H62" i="22"/>
  <c r="H65" i="22"/>
  <c r="I62" i="22"/>
  <c r="A63" i="22"/>
  <c r="A64" i="22"/>
  <c r="C64" i="22"/>
  <c r="D64" i="22"/>
  <c r="E64" i="22"/>
  <c r="F64" i="22"/>
  <c r="G64" i="22"/>
  <c r="H64" i="22"/>
  <c r="I64" i="22"/>
  <c r="K64" i="22"/>
  <c r="L64" i="22"/>
  <c r="M64" i="22"/>
  <c r="N64" i="22"/>
  <c r="O64" i="22"/>
  <c r="P64" i="22"/>
  <c r="Q64" i="22"/>
  <c r="A65" i="22"/>
  <c r="I65" i="22"/>
  <c r="Q65" i="22"/>
  <c r="C134" i="29"/>
  <c r="D134" i="29"/>
  <c r="E134" i="29"/>
  <c r="F134" i="29"/>
  <c r="G134" i="29"/>
  <c r="H134" i="29"/>
  <c r="I134" i="29"/>
  <c r="C136" i="29"/>
  <c r="D136" i="29"/>
  <c r="E136" i="29"/>
  <c r="F136" i="29"/>
  <c r="G136" i="29"/>
  <c r="H136" i="29"/>
  <c r="I136" i="29"/>
  <c r="C137" i="29"/>
  <c r="D137" i="29"/>
  <c r="E137" i="29"/>
  <c r="F137" i="29"/>
  <c r="G137" i="29"/>
  <c r="H137" i="29"/>
  <c r="I137" i="29"/>
  <c r="B140" i="29"/>
  <c r="B141" i="29"/>
  <c r="B142" i="29"/>
  <c r="B143" i="29"/>
  <c r="B144" i="29"/>
  <c r="C149" i="29"/>
  <c r="D149" i="29"/>
  <c r="E149" i="29"/>
  <c r="F149" i="29"/>
  <c r="G149" i="29"/>
  <c r="H149" i="29"/>
  <c r="I149" i="29"/>
  <c r="C151" i="29"/>
  <c r="D151" i="29"/>
  <c r="E151" i="29"/>
  <c r="F151" i="29"/>
  <c r="G151" i="29"/>
  <c r="H151" i="29"/>
  <c r="I151" i="29"/>
  <c r="C152" i="29"/>
  <c r="D152" i="29"/>
  <c r="E152" i="29"/>
  <c r="F152" i="29"/>
  <c r="G152" i="29"/>
  <c r="H152" i="29"/>
  <c r="I152" i="29"/>
  <c r="B155" i="29"/>
  <c r="B156" i="29"/>
  <c r="B157" i="29"/>
  <c r="B158" i="29"/>
  <c r="B159" i="29"/>
  <c r="C164" i="29"/>
  <c r="D164" i="29"/>
  <c r="E164" i="29"/>
  <c r="F164" i="29"/>
  <c r="G164" i="29"/>
  <c r="H164" i="29"/>
  <c r="I164" i="29"/>
  <c r="C166" i="29"/>
  <c r="D166" i="29"/>
  <c r="E166" i="29"/>
  <c r="F166" i="29"/>
  <c r="G166" i="29"/>
  <c r="H166" i="29"/>
  <c r="I166" i="29"/>
  <c r="C167" i="29"/>
  <c r="D167" i="29"/>
  <c r="E167" i="29"/>
  <c r="F167" i="29"/>
  <c r="G167" i="29"/>
  <c r="H167" i="29"/>
  <c r="I167" i="29"/>
  <c r="B170" i="29"/>
  <c r="B171" i="29"/>
  <c r="B172" i="29"/>
  <c r="B173" i="29"/>
  <c r="B174" i="29"/>
  <c r="C179" i="29"/>
  <c r="D179" i="29"/>
  <c r="E179" i="29"/>
  <c r="F179" i="29"/>
  <c r="G179" i="29"/>
  <c r="H179" i="29"/>
  <c r="I179" i="29"/>
  <c r="C181" i="29"/>
  <c r="D181" i="29"/>
  <c r="E181" i="29"/>
  <c r="F181" i="29"/>
  <c r="G181" i="29"/>
  <c r="H181" i="29"/>
  <c r="I181" i="29"/>
  <c r="C182" i="29"/>
  <c r="D182" i="29"/>
  <c r="E182" i="29"/>
  <c r="F182" i="29"/>
  <c r="G182" i="29"/>
  <c r="H182" i="29"/>
  <c r="I182" i="29"/>
  <c r="H31" i="57"/>
  <c r="D97" i="29"/>
  <c r="E97" i="29"/>
  <c r="F97" i="29"/>
  <c r="G97" i="29"/>
  <c r="H97" i="29"/>
  <c r="C61" i="29"/>
  <c r="C65" i="29"/>
  <c r="D61" i="29"/>
  <c r="D65" i="29"/>
  <c r="E61" i="29"/>
  <c r="E65" i="29"/>
  <c r="F61" i="29"/>
  <c r="F65" i="29"/>
  <c r="G61" i="29"/>
  <c r="G65" i="29"/>
  <c r="H61" i="29"/>
  <c r="H65" i="29"/>
  <c r="I61" i="29"/>
  <c r="I65" i="29"/>
  <c r="D12" i="29"/>
  <c r="E12" i="29"/>
  <c r="F12" i="29"/>
  <c r="G12" i="29"/>
  <c r="H12" i="29"/>
  <c r="I12" i="29"/>
  <c r="J12" i="29"/>
  <c r="C41" i="29"/>
  <c r="C43" i="29"/>
  <c r="D41" i="29"/>
  <c r="D43" i="29"/>
  <c r="E41" i="29"/>
  <c r="E43" i="29"/>
  <c r="F41" i="29"/>
  <c r="F43" i="29"/>
  <c r="G41" i="29"/>
  <c r="G43" i="29"/>
  <c r="H41" i="29"/>
  <c r="H43" i="29"/>
  <c r="I41" i="29"/>
  <c r="I43" i="29"/>
  <c r="V12" i="83"/>
  <c r="W12" i="83"/>
  <c r="X12" i="83"/>
  <c r="P12" i="83"/>
  <c r="Q12" i="83"/>
  <c r="R12" i="83"/>
  <c r="S12" i="83"/>
  <c r="T12" i="83"/>
  <c r="J14" i="81"/>
  <c r="K12" i="81"/>
  <c r="K14" i="81"/>
  <c r="L12" i="81"/>
  <c r="L14" i="81"/>
  <c r="M12" i="81"/>
  <c r="M14" i="81"/>
  <c r="B109" i="81"/>
  <c r="C109" i="81"/>
  <c r="D109" i="81"/>
  <c r="E109" i="81"/>
  <c r="F109" i="81"/>
  <c r="G109" i="81"/>
  <c r="N12" i="81"/>
  <c r="N14" i="81"/>
  <c r="A44" i="81"/>
  <c r="A69" i="81"/>
  <c r="A15" i="72"/>
  <c r="A39" i="72"/>
  <c r="A66" i="72"/>
  <c r="H65" i="72"/>
  <c r="G65" i="72"/>
  <c r="F65" i="72"/>
  <c r="E65" i="72"/>
  <c r="D65" i="72"/>
  <c r="C65" i="72"/>
  <c r="B65" i="72"/>
  <c r="F14" i="48"/>
  <c r="F15" i="48"/>
  <c r="F16" i="48"/>
  <c r="F17" i="48"/>
  <c r="A152" i="53"/>
  <c r="A219" i="53"/>
  <c r="A151" i="53"/>
  <c r="A218" i="53"/>
  <c r="A150" i="53"/>
  <c r="A217" i="53"/>
  <c r="A149" i="53"/>
  <c r="A216" i="53"/>
  <c r="A84" i="81"/>
  <c r="A109" i="81"/>
  <c r="A27" i="53"/>
  <c r="A148" i="53"/>
  <c r="A215" i="53"/>
  <c r="A26" i="53"/>
  <c r="A147" i="53"/>
  <c r="A214" i="53"/>
  <c r="A58" i="81"/>
  <c r="A83" i="81"/>
  <c r="A108" i="81"/>
  <c r="A25" i="53"/>
  <c r="A146" i="53"/>
  <c r="A213" i="53"/>
  <c r="A57" i="81"/>
  <c r="A82" i="81"/>
  <c r="A107" i="81"/>
  <c r="A24" i="53"/>
  <c r="A145" i="53"/>
  <c r="A212" i="53"/>
  <c r="A56" i="81"/>
  <c r="A81" i="81"/>
  <c r="A106" i="81"/>
  <c r="A23" i="53"/>
  <c r="A144" i="53"/>
  <c r="A211" i="53"/>
  <c r="A55" i="81"/>
  <c r="A80" i="81"/>
  <c r="A105" i="81"/>
  <c r="A22" i="53"/>
  <c r="A143" i="53"/>
  <c r="A210" i="53"/>
  <c r="A54" i="81"/>
  <c r="A79" i="81"/>
  <c r="A104" i="81"/>
  <c r="A21" i="53"/>
  <c r="A142" i="53"/>
  <c r="A209" i="53"/>
  <c r="A53" i="81"/>
  <c r="A78" i="81"/>
  <c r="A103" i="81"/>
  <c r="A20" i="53"/>
  <c r="A141" i="53"/>
  <c r="A208" i="53"/>
  <c r="A52" i="81"/>
  <c r="A77" i="81"/>
  <c r="A102" i="81"/>
  <c r="A19" i="53"/>
  <c r="A140" i="53"/>
  <c r="A207" i="53"/>
  <c r="A51" i="81"/>
  <c r="A76" i="81"/>
  <c r="A101" i="81"/>
  <c r="A18" i="53"/>
  <c r="A139" i="53"/>
  <c r="A206" i="53"/>
  <c r="A138" i="53"/>
  <c r="A205" i="53"/>
  <c r="A49" i="81"/>
  <c r="A74" i="81"/>
  <c r="A99" i="81"/>
  <c r="A16" i="53"/>
  <c r="A137" i="53"/>
  <c r="A204" i="53"/>
  <c r="A48" i="81"/>
  <c r="A73" i="81"/>
  <c r="A98" i="81"/>
  <c r="A15" i="53"/>
  <c r="A136" i="53"/>
  <c r="A203" i="53"/>
  <c r="A47" i="81"/>
  <c r="A72" i="81"/>
  <c r="A97" i="81"/>
  <c r="A14" i="53"/>
  <c r="A135" i="53"/>
  <c r="A202" i="53"/>
  <c r="A46" i="81"/>
  <c r="A71" i="81"/>
  <c r="A96" i="81"/>
  <c r="A13" i="53"/>
  <c r="A134" i="53"/>
  <c r="A201" i="53"/>
  <c r="A45" i="81"/>
  <c r="A70" i="81"/>
  <c r="A95" i="81"/>
  <c r="A12" i="53"/>
  <c r="A133" i="53"/>
  <c r="A200" i="53"/>
  <c r="A94" i="81"/>
  <c r="A11" i="53"/>
  <c r="A132" i="53"/>
  <c r="A199" i="53"/>
  <c r="A129" i="53"/>
  <c r="A61" i="53"/>
  <c r="A85" i="53"/>
  <c r="A84" i="53"/>
  <c r="A83" i="53"/>
  <c r="A82" i="53"/>
  <c r="A81" i="53"/>
  <c r="A80" i="53"/>
  <c r="A79" i="53"/>
  <c r="A78" i="53"/>
  <c r="A77" i="53"/>
  <c r="A76" i="53"/>
  <c r="A75" i="53"/>
  <c r="A74" i="53"/>
  <c r="A73" i="53"/>
  <c r="A72" i="53"/>
  <c r="A71" i="53"/>
  <c r="A70" i="53"/>
  <c r="A69" i="53"/>
  <c r="A68" i="53"/>
  <c r="A67" i="53"/>
  <c r="A66" i="53"/>
  <c r="A65" i="53"/>
  <c r="A64" i="53"/>
  <c r="A93" i="81"/>
  <c r="A10" i="53"/>
  <c r="A63" i="53"/>
  <c r="A50" i="81"/>
  <c r="A75" i="81"/>
  <c r="A21" i="72"/>
  <c r="A45" i="72"/>
  <c r="A88" i="72"/>
  <c r="A20" i="72"/>
  <c r="A44" i="72"/>
  <c r="A84" i="72"/>
  <c r="A19" i="72"/>
  <c r="A43" i="72"/>
  <c r="A81" i="72"/>
  <c r="A18" i="72"/>
  <c r="A42" i="72"/>
  <c r="A78" i="72"/>
  <c r="A17" i="72"/>
  <c r="A41" i="72"/>
  <c r="A73" i="72"/>
  <c r="A16" i="72"/>
  <c r="A40" i="72"/>
  <c r="A70" i="72"/>
  <c r="A124" i="72"/>
  <c r="A31" i="72"/>
  <c r="A55" i="72"/>
  <c r="A121" i="72"/>
  <c r="A30" i="72"/>
  <c r="A54" i="72"/>
  <c r="A118" i="72"/>
  <c r="A29" i="72"/>
  <c r="A53" i="72"/>
  <c r="A115" i="72"/>
  <c r="A28" i="72"/>
  <c r="A52" i="72"/>
  <c r="A112" i="72"/>
  <c r="A27" i="72"/>
  <c r="A51" i="72"/>
  <c r="A109" i="72"/>
  <c r="A26" i="72"/>
  <c r="A50" i="72"/>
  <c r="A106" i="72"/>
  <c r="A24" i="72"/>
  <c r="A48" i="72"/>
  <c r="A99" i="72"/>
  <c r="A23" i="72"/>
  <c r="A47" i="72"/>
  <c r="A96" i="72"/>
  <c r="H55" i="72"/>
  <c r="H54" i="72"/>
  <c r="H53" i="72"/>
  <c r="H52" i="72"/>
  <c r="H51" i="72"/>
  <c r="H50" i="72"/>
  <c r="H48" i="72"/>
  <c r="H45" i="72"/>
  <c r="H44" i="72"/>
  <c r="H43" i="72"/>
  <c r="G55" i="72"/>
  <c r="G54" i="72"/>
  <c r="G53" i="72"/>
  <c r="G52" i="72"/>
  <c r="G51" i="72"/>
  <c r="G50" i="72"/>
  <c r="G48" i="72"/>
  <c r="G45" i="72"/>
  <c r="G44" i="72"/>
  <c r="G43" i="72"/>
  <c r="F55" i="72"/>
  <c r="F54" i="72"/>
  <c r="F53" i="72"/>
  <c r="F52" i="72"/>
  <c r="F51" i="72"/>
  <c r="F50" i="72"/>
  <c r="F48" i="72"/>
  <c r="F45" i="72"/>
  <c r="F44" i="72"/>
  <c r="F43" i="72"/>
  <c r="E55" i="72"/>
  <c r="E54" i="72"/>
  <c r="E53" i="72"/>
  <c r="E52" i="72"/>
  <c r="E51" i="72"/>
  <c r="E50" i="72"/>
  <c r="E48" i="72"/>
  <c r="E45" i="72"/>
  <c r="E44" i="72"/>
  <c r="E43" i="72"/>
  <c r="D55" i="72"/>
  <c r="D54" i="72"/>
  <c r="D53" i="72"/>
  <c r="D52" i="72"/>
  <c r="D51" i="72"/>
  <c r="D50" i="72"/>
  <c r="D48" i="72"/>
  <c r="D45" i="72"/>
  <c r="D44" i="72"/>
  <c r="D43" i="72"/>
  <c r="C55" i="72"/>
  <c r="C54" i="72"/>
  <c r="C53" i="72"/>
  <c r="C52" i="72"/>
  <c r="C51" i="72"/>
  <c r="C50" i="72"/>
  <c r="C48" i="72"/>
  <c r="C45" i="72"/>
  <c r="C44" i="72"/>
  <c r="C43" i="72"/>
  <c r="B55" i="72"/>
  <c r="B54" i="72"/>
  <c r="B53" i="72"/>
  <c r="B52" i="72"/>
  <c r="B51" i="72"/>
  <c r="B50" i="72"/>
  <c r="B48" i="72"/>
  <c r="B45" i="72"/>
  <c r="B44" i="72"/>
  <c r="B43" i="72"/>
  <c r="A27" i="55"/>
  <c r="A84" i="55"/>
  <c r="A136" i="55"/>
  <c r="A194" i="55"/>
  <c r="A249" i="55"/>
  <c r="A26" i="55"/>
  <c r="A83" i="55"/>
  <c r="A135" i="55"/>
  <c r="A193" i="55"/>
  <c r="A248" i="55"/>
  <c r="A25" i="55"/>
  <c r="A82" i="55"/>
  <c r="A134" i="55"/>
  <c r="A192" i="55"/>
  <c r="A247" i="55"/>
  <c r="A24" i="55"/>
  <c r="A81" i="55"/>
  <c r="A133" i="55"/>
  <c r="A191" i="55"/>
  <c r="A246" i="55"/>
  <c r="A23" i="55"/>
  <c r="A80" i="55"/>
  <c r="A132" i="55"/>
  <c r="A190" i="55"/>
  <c r="A245" i="55"/>
  <c r="A22" i="55"/>
  <c r="A79" i="55"/>
  <c r="A131" i="55"/>
  <c r="A189" i="55"/>
  <c r="A244" i="55"/>
  <c r="A21" i="55"/>
  <c r="A78" i="55"/>
  <c r="A130" i="55"/>
  <c r="A188" i="55"/>
  <c r="A243" i="55"/>
  <c r="A20" i="55"/>
  <c r="A77" i="55"/>
  <c r="A129" i="55"/>
  <c r="A187" i="55"/>
  <c r="A242" i="55"/>
  <c r="A19" i="55"/>
  <c r="A76" i="55"/>
  <c r="A128" i="55"/>
  <c r="A186" i="55"/>
  <c r="A241" i="55"/>
  <c r="A18" i="55"/>
  <c r="A75" i="55"/>
  <c r="A127" i="55"/>
  <c r="A185" i="55"/>
  <c r="A240" i="55"/>
  <c r="A17" i="55"/>
  <c r="A74" i="55"/>
  <c r="A126" i="55"/>
  <c r="A184" i="55"/>
  <c r="A239" i="55"/>
  <c r="A16" i="55"/>
  <c r="A73" i="55"/>
  <c r="A125" i="55"/>
  <c r="A183" i="55"/>
  <c r="A238" i="55"/>
  <c r="A15" i="55"/>
  <c r="A72" i="55"/>
  <c r="A124" i="55"/>
  <c r="A182" i="55"/>
  <c r="A237" i="55"/>
  <c r="A14" i="55"/>
  <c r="A71" i="55"/>
  <c r="A123" i="55"/>
  <c r="A181" i="55"/>
  <c r="A236" i="55"/>
  <c r="A13" i="55"/>
  <c r="A70" i="55"/>
  <c r="A122" i="55"/>
  <c r="A180" i="55"/>
  <c r="A235" i="55"/>
  <c r="A12" i="55"/>
  <c r="A69" i="55"/>
  <c r="A121" i="55"/>
  <c r="A179" i="55"/>
  <c r="A234" i="55"/>
  <c r="A11" i="55"/>
  <c r="A68" i="55"/>
  <c r="A120" i="55"/>
  <c r="A178" i="55"/>
  <c r="A233" i="55"/>
  <c r="A32" i="55"/>
  <c r="A89" i="55"/>
  <c r="A141" i="55"/>
  <c r="H109" i="81"/>
  <c r="A100" i="81"/>
  <c r="V12" i="81"/>
  <c r="W12" i="81"/>
  <c r="X12" i="81"/>
  <c r="P12" i="81"/>
  <c r="Q12" i="81"/>
  <c r="R12" i="81"/>
  <c r="S12" i="81"/>
  <c r="T12" i="81"/>
  <c r="A32" i="48"/>
  <c r="A31" i="48"/>
  <c r="A30" i="48"/>
  <c r="A29" i="48"/>
  <c r="A28" i="48"/>
  <c r="M15" i="62"/>
  <c r="M17" i="62"/>
  <c r="A131" i="53"/>
  <c r="A198" i="53"/>
  <c r="J97" i="29"/>
  <c r="I97" i="29"/>
  <c r="B98" i="29"/>
  <c r="B97" i="29"/>
  <c r="B96" i="29"/>
  <c r="B95" i="29"/>
  <c r="J274" i="53"/>
  <c r="J276" i="53"/>
  <c r="I274" i="53"/>
  <c r="I276" i="53"/>
  <c r="H274" i="53"/>
  <c r="H276" i="53"/>
  <c r="G274" i="53"/>
  <c r="G276" i="53"/>
  <c r="F274" i="53"/>
  <c r="F276" i="53"/>
  <c r="E274" i="53"/>
  <c r="E276" i="53"/>
  <c r="D274" i="53"/>
  <c r="D276" i="53"/>
  <c r="C20" i="68"/>
  <c r="B18" i="69"/>
  <c r="I23" i="68"/>
  <c r="H23" i="68"/>
  <c r="G23" i="68"/>
  <c r="F23" i="68"/>
  <c r="E23" i="68"/>
  <c r="D23" i="68"/>
  <c r="C23" i="68"/>
  <c r="C19" i="68"/>
  <c r="C18" i="68"/>
  <c r="C17" i="68"/>
  <c r="A20" i="21"/>
  <c r="A30" i="21"/>
  <c r="A19" i="21"/>
  <c r="A29" i="21"/>
  <c r="A18" i="21"/>
  <c r="A28" i="21"/>
  <c r="A21" i="21"/>
  <c r="A31" i="21"/>
  <c r="A22" i="21"/>
  <c r="A32" i="21"/>
  <c r="K57" i="48"/>
  <c r="J57" i="48"/>
  <c r="I57" i="48"/>
  <c r="H57" i="48"/>
  <c r="G57" i="48"/>
  <c r="F57" i="48"/>
  <c r="E57" i="48"/>
  <c r="J302" i="55"/>
  <c r="I302" i="55"/>
  <c r="H302" i="55"/>
  <c r="G302" i="55"/>
  <c r="F302" i="55"/>
  <c r="E302" i="55"/>
  <c r="D302" i="55"/>
  <c r="J45" i="42"/>
  <c r="I45" i="42"/>
  <c r="H45" i="42"/>
  <c r="G45" i="42"/>
  <c r="F45" i="42"/>
  <c r="E45" i="42"/>
  <c r="D45" i="42"/>
  <c r="J191" i="72"/>
  <c r="J193" i="72"/>
  <c r="I191" i="72"/>
  <c r="I193" i="72"/>
  <c r="H191" i="72"/>
  <c r="H193" i="72"/>
  <c r="G191" i="72"/>
  <c r="G193" i="72"/>
  <c r="F191" i="72"/>
  <c r="F193" i="72"/>
  <c r="E191" i="72"/>
  <c r="E193" i="72"/>
  <c r="D191" i="72"/>
  <c r="D193" i="72"/>
  <c r="J305" i="55"/>
  <c r="I305" i="55"/>
  <c r="H305" i="55"/>
  <c r="G305" i="55"/>
  <c r="F305" i="55"/>
  <c r="E305" i="55"/>
  <c r="D305" i="55"/>
  <c r="K152" i="72"/>
  <c r="H28" i="69"/>
  <c r="H31" i="69" s="1"/>
  <c r="B16" i="68"/>
  <c r="B15" i="68"/>
  <c r="A251" i="53"/>
  <c r="A250" i="53"/>
  <c r="A249" i="53"/>
  <c r="A247" i="53"/>
  <c r="A246" i="53"/>
  <c r="A245" i="53"/>
  <c r="A244" i="53"/>
  <c r="A195" i="53"/>
  <c r="G59" i="48"/>
  <c r="E59" i="48"/>
  <c r="F59" i="48"/>
  <c r="H59" i="48"/>
  <c r="I59" i="48"/>
  <c r="K59" i="48"/>
  <c r="J59" i="48"/>
  <c r="E47" i="42"/>
  <c r="G47" i="42"/>
  <c r="F47" i="42"/>
  <c r="H47" i="42"/>
  <c r="I47" i="42"/>
  <c r="J47" i="42"/>
  <c r="C18" i="69"/>
  <c r="D18" i="69" s="1"/>
  <c r="E18" i="69" s="1"/>
  <c r="F18" i="69" s="1"/>
  <c r="G18" i="69" s="1"/>
  <c r="H18" i="69" s="1"/>
  <c r="H27" i="69"/>
  <c r="D6" i="68"/>
  <c r="C27" i="69"/>
  <c r="B27" i="69"/>
  <c r="D47" i="42"/>
  <c r="C6" i="68"/>
  <c r="D27" i="69"/>
  <c r="E27" i="69"/>
  <c r="G27" i="69"/>
  <c r="F27" i="69"/>
  <c r="D12" i="68"/>
  <c r="E6" i="68"/>
  <c r="E12" i="68"/>
  <c r="F6" i="68"/>
  <c r="F12" i="68"/>
  <c r="G6" i="68"/>
  <c r="G12" i="68"/>
  <c r="H6" i="68"/>
  <c r="H12" i="68"/>
  <c r="I6" i="68"/>
  <c r="I12" i="68"/>
  <c r="C16" i="68"/>
  <c r="G7" i="57"/>
  <c r="J7" i="57"/>
  <c r="G11" i="57"/>
  <c r="D5" i="62"/>
  <c r="E20" i="62"/>
  <c r="D4" i="23"/>
  <c r="C10" i="23"/>
  <c r="D10" i="23"/>
  <c r="F10" i="23"/>
  <c r="E10" i="23"/>
  <c r="G10" i="23"/>
  <c r="C11" i="23"/>
  <c r="D11" i="23"/>
  <c r="F11" i="23"/>
  <c r="E11" i="23"/>
  <c r="G11" i="23"/>
  <c r="C12" i="23"/>
  <c r="D12" i="23"/>
  <c r="F12" i="23"/>
  <c r="E12" i="23"/>
  <c r="G12" i="23"/>
  <c r="C13" i="23"/>
  <c r="D13" i="23"/>
  <c r="F13" i="23"/>
  <c r="E13" i="23"/>
  <c r="G13" i="23"/>
  <c r="C14" i="23"/>
  <c r="D14" i="23"/>
  <c r="F14" i="23"/>
  <c r="E14" i="23"/>
  <c r="G14" i="23"/>
  <c r="C15" i="23"/>
  <c r="D15" i="23"/>
  <c r="F15" i="23"/>
  <c r="E15" i="23"/>
  <c r="G15" i="23"/>
  <c r="C16" i="23"/>
  <c r="D16" i="23"/>
  <c r="D8" i="23"/>
  <c r="F16" i="23"/>
  <c r="E16" i="23"/>
  <c r="G16" i="23"/>
  <c r="C17" i="23"/>
  <c r="D17" i="23"/>
  <c r="F17" i="23"/>
  <c r="E17" i="23"/>
  <c r="G17" i="23"/>
  <c r="C18" i="23"/>
  <c r="D18" i="23"/>
  <c r="F18" i="23"/>
  <c r="E18" i="23"/>
  <c r="G18" i="23"/>
  <c r="C19" i="23"/>
  <c r="D19" i="23"/>
  <c r="F19" i="23"/>
  <c r="E19" i="23"/>
  <c r="G19" i="23"/>
  <c r="C20" i="23"/>
  <c r="D20" i="23"/>
  <c r="F20" i="23"/>
  <c r="E20" i="23"/>
  <c r="G20" i="23"/>
  <c r="C21" i="23"/>
  <c r="D21" i="23"/>
  <c r="F21" i="23"/>
  <c r="E21" i="23"/>
  <c r="G21" i="23"/>
  <c r="C22" i="23"/>
  <c r="F22" i="23"/>
  <c r="D22" i="23"/>
  <c r="E22" i="23"/>
  <c r="G22" i="23"/>
  <c r="C23" i="23"/>
  <c r="D23" i="23"/>
  <c r="F23" i="23"/>
  <c r="E23" i="23"/>
  <c r="G23" i="23"/>
  <c r="C24" i="23"/>
  <c r="D24" i="23"/>
  <c r="F24" i="23"/>
  <c r="E24" i="23"/>
  <c r="G24" i="23"/>
  <c r="C25" i="23"/>
  <c r="D25" i="23"/>
  <c r="F25" i="23"/>
  <c r="E25" i="23"/>
  <c r="G25" i="23"/>
  <c r="C26" i="23"/>
  <c r="D26" i="23"/>
  <c r="F26" i="23"/>
  <c r="E26" i="23"/>
  <c r="G26" i="23"/>
  <c r="C27" i="23"/>
  <c r="D27" i="23"/>
  <c r="F27" i="23"/>
  <c r="E27" i="23"/>
  <c r="G27" i="23"/>
  <c r="C28" i="23"/>
  <c r="D28" i="23"/>
  <c r="F28" i="23"/>
  <c r="E28" i="23"/>
  <c r="G28" i="23"/>
  <c r="C29" i="23"/>
  <c r="D29" i="23"/>
  <c r="F29" i="23"/>
  <c r="E29" i="23"/>
  <c r="G29" i="23"/>
  <c r="C30" i="23"/>
  <c r="D30" i="23"/>
  <c r="F30" i="23"/>
  <c r="E30" i="23"/>
  <c r="G30" i="23"/>
  <c r="C31" i="23"/>
  <c r="D31" i="23"/>
  <c r="F31" i="23"/>
  <c r="E31" i="23"/>
  <c r="G31" i="23"/>
  <c r="C32" i="23"/>
  <c r="D32" i="23"/>
  <c r="F32" i="23"/>
  <c r="E32" i="23"/>
  <c r="G32" i="23"/>
  <c r="C33" i="23"/>
  <c r="D33" i="23"/>
  <c r="F33" i="23"/>
  <c r="E33" i="23"/>
  <c r="G33" i="23"/>
  <c r="C34" i="23"/>
  <c r="F34" i="23"/>
  <c r="D34" i="23"/>
  <c r="E34" i="23"/>
  <c r="G34" i="23"/>
  <c r="C35" i="23"/>
  <c r="D35" i="23"/>
  <c r="F35" i="23"/>
  <c r="E35" i="23"/>
  <c r="G35" i="23"/>
  <c r="C36" i="23"/>
  <c r="D36" i="23"/>
  <c r="F36" i="23"/>
  <c r="E36" i="23"/>
  <c r="G36" i="23"/>
  <c r="C37" i="23"/>
  <c r="D37" i="23"/>
  <c r="F37" i="23"/>
  <c r="E37" i="23"/>
  <c r="G37" i="23"/>
  <c r="C38" i="23"/>
  <c r="D38" i="23"/>
  <c r="F38" i="23"/>
  <c r="E38" i="23"/>
  <c r="G38" i="23"/>
  <c r="C39" i="23"/>
  <c r="D39" i="23"/>
  <c r="F39" i="23"/>
  <c r="E39" i="23"/>
  <c r="G39" i="23"/>
  <c r="C40" i="23"/>
  <c r="D40" i="23"/>
  <c r="F40" i="23"/>
  <c r="E40" i="23"/>
  <c r="G40" i="23"/>
  <c r="C41" i="23"/>
  <c r="D41" i="23"/>
  <c r="F41" i="23"/>
  <c r="E41" i="23"/>
  <c r="G41" i="23"/>
  <c r="C42" i="23"/>
  <c r="D42" i="23"/>
  <c r="F42" i="23"/>
  <c r="E42" i="23"/>
  <c r="G42" i="23"/>
  <c r="C43" i="23"/>
  <c r="D43" i="23"/>
  <c r="F43" i="23"/>
  <c r="E43" i="23"/>
  <c r="G43" i="23"/>
  <c r="C44" i="23"/>
  <c r="D44" i="23"/>
  <c r="F44" i="23"/>
  <c r="E44" i="23"/>
  <c r="G44" i="23"/>
  <c r="C45" i="23"/>
  <c r="D45" i="23"/>
  <c r="F45" i="23"/>
  <c r="E45" i="23"/>
  <c r="G45" i="23"/>
  <c r="C46" i="23"/>
  <c r="F46" i="23"/>
  <c r="D46" i="23"/>
  <c r="E46" i="23"/>
  <c r="G46" i="23"/>
  <c r="C47" i="23"/>
  <c r="D47" i="23"/>
  <c r="F47" i="23"/>
  <c r="E47" i="23"/>
  <c r="G47" i="23"/>
  <c r="C48" i="23"/>
  <c r="D48" i="23"/>
  <c r="F48" i="23"/>
  <c r="E48" i="23"/>
  <c r="G48" i="23"/>
  <c r="C49" i="23"/>
  <c r="D49" i="23"/>
  <c r="F49" i="23"/>
  <c r="E49" i="23"/>
  <c r="G49" i="23"/>
  <c r="C50" i="23"/>
  <c r="D50" i="23"/>
  <c r="F50" i="23"/>
  <c r="E50" i="23"/>
  <c r="G50" i="23"/>
  <c r="C51" i="23"/>
  <c r="D51" i="23"/>
  <c r="F51" i="23"/>
  <c r="E51" i="23"/>
  <c r="G51" i="23"/>
  <c r="C52" i="23"/>
  <c r="D52" i="23"/>
  <c r="F52" i="23"/>
  <c r="E52" i="23"/>
  <c r="G52" i="23"/>
  <c r="C53" i="23"/>
  <c r="D53" i="23"/>
  <c r="F53" i="23"/>
  <c r="E53" i="23"/>
  <c r="G53" i="23"/>
  <c r="C54" i="23"/>
  <c r="D54" i="23"/>
  <c r="F54" i="23"/>
  <c r="E54" i="23"/>
  <c r="G54" i="23"/>
  <c r="C55" i="23"/>
  <c r="D55" i="23"/>
  <c r="F55" i="23"/>
  <c r="E55" i="23"/>
  <c r="G55" i="23"/>
  <c r="C56" i="23"/>
  <c r="D56" i="23"/>
  <c r="F56" i="23"/>
  <c r="E56" i="23"/>
  <c r="G56" i="23"/>
  <c r="C57" i="23"/>
  <c r="D57" i="23"/>
  <c r="F57" i="23"/>
  <c r="E57" i="23"/>
  <c r="G57" i="23"/>
  <c r="C58" i="23"/>
  <c r="F58" i="23"/>
  <c r="D58" i="23"/>
  <c r="E58" i="23"/>
  <c r="G58" i="23"/>
  <c r="C59" i="23"/>
  <c r="D59" i="23"/>
  <c r="F59" i="23"/>
  <c r="E59" i="23"/>
  <c r="G59" i="23"/>
  <c r="C60" i="23"/>
  <c r="D60" i="23"/>
  <c r="F60" i="23"/>
  <c r="E60" i="23"/>
  <c r="G60" i="23"/>
  <c r="C61" i="23"/>
  <c r="D61" i="23"/>
  <c r="F61" i="23"/>
  <c r="E61" i="23"/>
  <c r="G61" i="23"/>
  <c r="C62" i="23"/>
  <c r="D62" i="23"/>
  <c r="F62" i="23"/>
  <c r="E62" i="23"/>
  <c r="G62" i="23"/>
  <c r="C63" i="23"/>
  <c r="D63" i="23"/>
  <c r="F63" i="23"/>
  <c r="E63" i="23"/>
  <c r="G63" i="23"/>
  <c r="C64" i="23"/>
  <c r="D64" i="23"/>
  <c r="F64" i="23"/>
  <c r="E64" i="23"/>
  <c r="G64" i="23"/>
  <c r="C65" i="23"/>
  <c r="D65" i="23"/>
  <c r="F65" i="23"/>
  <c r="E65" i="23"/>
  <c r="G65" i="23"/>
  <c r="C66" i="23"/>
  <c r="D66" i="23"/>
  <c r="F66" i="23"/>
  <c r="E66" i="23"/>
  <c r="G66" i="23"/>
  <c r="C67" i="23"/>
  <c r="D67" i="23"/>
  <c r="F67" i="23"/>
  <c r="E67" i="23"/>
  <c r="G67" i="23"/>
  <c r="C68" i="23"/>
  <c r="D68" i="23"/>
  <c r="F68" i="23"/>
  <c r="E68" i="23"/>
  <c r="G68" i="23"/>
  <c r="C69" i="23"/>
  <c r="D69" i="23"/>
  <c r="F69" i="23"/>
  <c r="E69" i="23"/>
  <c r="G69" i="23"/>
  <c r="C70" i="23"/>
  <c r="F70" i="23"/>
  <c r="D70" i="23"/>
  <c r="E70" i="23"/>
  <c r="G70" i="23"/>
  <c r="C71" i="23"/>
  <c r="D71" i="23"/>
  <c r="F71" i="23"/>
  <c r="E71" i="23"/>
  <c r="G71" i="23"/>
  <c r="C72" i="23"/>
  <c r="D72" i="23"/>
  <c r="F72" i="23"/>
  <c r="E72" i="23"/>
  <c r="G72" i="23"/>
  <c r="C73" i="23"/>
  <c r="D73" i="23"/>
  <c r="F73" i="23"/>
  <c r="E73" i="23"/>
  <c r="G73" i="23"/>
  <c r="C74" i="23"/>
  <c r="D74" i="23"/>
  <c r="F74" i="23"/>
  <c r="E74" i="23"/>
  <c r="G74" i="23"/>
  <c r="C75" i="23"/>
  <c r="D75" i="23"/>
  <c r="F75" i="23"/>
  <c r="E75" i="23"/>
  <c r="G75" i="23"/>
  <c r="C76" i="23"/>
  <c r="D76" i="23"/>
  <c r="F76" i="23"/>
  <c r="E76" i="23"/>
  <c r="G76" i="23"/>
  <c r="C77" i="23"/>
  <c r="D77" i="23"/>
  <c r="F77" i="23"/>
  <c r="E77" i="23"/>
  <c r="G77" i="23"/>
  <c r="C78" i="23"/>
  <c r="D78" i="23"/>
  <c r="F78" i="23"/>
  <c r="E78" i="23"/>
  <c r="G78" i="23"/>
  <c r="C79" i="23"/>
  <c r="D79" i="23"/>
  <c r="F79" i="23"/>
  <c r="E79" i="23"/>
  <c r="G79" i="23"/>
  <c r="C80" i="23"/>
  <c r="D80" i="23"/>
  <c r="F80" i="23"/>
  <c r="E80" i="23"/>
  <c r="G80" i="23"/>
  <c r="C81" i="23"/>
  <c r="D81" i="23"/>
  <c r="H26" i="68"/>
  <c r="G47" i="21"/>
  <c r="C38" i="22"/>
  <c r="H39" i="22"/>
  <c r="H67" i="22"/>
  <c r="G42" i="21"/>
  <c r="G97" i="22"/>
  <c r="K38" i="22"/>
  <c r="K39" i="22"/>
  <c r="K41" i="22"/>
  <c r="L38" i="22"/>
  <c r="L39" i="22"/>
  <c r="L41" i="22"/>
  <c r="M38" i="22"/>
  <c r="M39" i="22"/>
  <c r="M41" i="22"/>
  <c r="N38" i="22"/>
  <c r="N39" i="22"/>
  <c r="N41" i="22"/>
  <c r="O38" i="22"/>
  <c r="O39" i="22"/>
  <c r="O41" i="22"/>
  <c r="P38" i="22"/>
  <c r="P39" i="22"/>
  <c r="P67" i="22"/>
  <c r="G98" i="22"/>
  <c r="F81" i="23"/>
  <c r="E81" i="23"/>
  <c r="G81" i="23"/>
  <c r="C82" i="23"/>
  <c r="F82" i="23"/>
  <c r="D82" i="23"/>
  <c r="E82" i="23"/>
  <c r="G82" i="23"/>
  <c r="C83" i="23"/>
  <c r="D83" i="23"/>
  <c r="F83" i="23"/>
  <c r="E83" i="23"/>
  <c r="G83" i="23"/>
  <c r="C84" i="23"/>
  <c r="D84" i="23"/>
  <c r="F84" i="23"/>
  <c r="E84" i="23"/>
  <c r="G84" i="23"/>
  <c r="C85" i="23"/>
  <c r="D85" i="23"/>
  <c r="F85" i="23"/>
  <c r="E85" i="23"/>
  <c r="G85" i="23"/>
  <c r="C86" i="23"/>
  <c r="D86" i="23"/>
  <c r="F86" i="23"/>
  <c r="E86" i="23"/>
  <c r="G86" i="23"/>
  <c r="C87" i="23"/>
  <c r="D87" i="23"/>
  <c r="F87" i="23"/>
  <c r="E87" i="23"/>
  <c r="G87" i="23"/>
  <c r="C88" i="23"/>
  <c r="D88" i="23"/>
  <c r="F88" i="23"/>
  <c r="E88" i="23"/>
  <c r="G88" i="23"/>
  <c r="C89" i="23"/>
  <c r="D89" i="23"/>
  <c r="F89" i="23"/>
  <c r="E89" i="23"/>
  <c r="G89" i="23"/>
  <c r="C90" i="23"/>
  <c r="D90" i="23"/>
  <c r="F90" i="23"/>
  <c r="E90" i="23"/>
  <c r="G90" i="23"/>
  <c r="C91" i="23"/>
  <c r="D91" i="23"/>
  <c r="F91" i="23"/>
  <c r="E91" i="23"/>
  <c r="G91" i="23"/>
  <c r="C92" i="23"/>
  <c r="D92" i="23"/>
  <c r="F92" i="23"/>
  <c r="E92" i="23"/>
  <c r="G92" i="23"/>
  <c r="C93" i="23"/>
  <c r="D93" i="23"/>
  <c r="I26" i="68"/>
  <c r="H47" i="21"/>
  <c r="I39" i="22"/>
  <c r="I67" i="22"/>
  <c r="H42" i="21"/>
  <c r="H97" i="22"/>
  <c r="P41" i="22"/>
  <c r="Q38" i="22"/>
  <c r="Q39" i="22"/>
  <c r="Q67" i="22"/>
  <c r="H98" i="22"/>
  <c r="G26" i="68"/>
  <c r="F47" i="21"/>
  <c r="G39" i="22"/>
  <c r="G67" i="22"/>
  <c r="F42" i="21"/>
  <c r="F97" i="22"/>
  <c r="O67" i="22"/>
  <c r="F98" i="22"/>
  <c r="F26" i="68"/>
  <c r="E47" i="21"/>
  <c r="F39" i="22"/>
  <c r="F67" i="22"/>
  <c r="E42" i="21"/>
  <c r="E97" i="22"/>
  <c r="N67" i="22"/>
  <c r="E98" i="22"/>
  <c r="E26" i="68"/>
  <c r="D47" i="21"/>
  <c r="E39" i="22"/>
  <c r="E67" i="22"/>
  <c r="D42" i="21"/>
  <c r="D97" i="22"/>
  <c r="M67" i="22"/>
  <c r="D98" i="22"/>
  <c r="D26" i="68"/>
  <c r="C47" i="21"/>
  <c r="D39" i="22"/>
  <c r="D67" i="22"/>
  <c r="C42" i="21"/>
  <c r="C97" i="22"/>
  <c r="L67" i="22"/>
  <c r="C98" i="22"/>
  <c r="C26" i="68"/>
  <c r="B47" i="21"/>
  <c r="C39" i="22"/>
  <c r="C67" i="22"/>
  <c r="B42" i="21"/>
  <c r="B97" i="22"/>
  <c r="K67" i="22"/>
  <c r="B98" i="22"/>
  <c r="C10" i="68"/>
  <c r="F5" i="62"/>
  <c r="E19" i="62"/>
  <c r="C9" i="68"/>
  <c r="D12" i="62"/>
  <c r="E21" i="62"/>
  <c r="E22" i="62"/>
  <c r="K66" i="22"/>
  <c r="L66" i="22"/>
  <c r="M66" i="22"/>
  <c r="N66" i="22"/>
  <c r="O66" i="22"/>
  <c r="P66" i="22"/>
  <c r="Q66" i="22"/>
  <c r="C40" i="22"/>
  <c r="C68" i="22"/>
  <c r="D40" i="22"/>
  <c r="D68" i="22"/>
  <c r="E40" i="22"/>
  <c r="E68" i="22"/>
  <c r="F40" i="22"/>
  <c r="F68" i="22"/>
  <c r="G40" i="22"/>
  <c r="G68" i="22"/>
  <c r="H40" i="22"/>
  <c r="H68" i="22"/>
  <c r="I40" i="22"/>
  <c r="I68" i="22"/>
  <c r="K40" i="22"/>
  <c r="K68" i="22"/>
  <c r="L40" i="22"/>
  <c r="L68" i="22"/>
  <c r="M40" i="22"/>
  <c r="M68" i="22"/>
  <c r="N40" i="22"/>
  <c r="N68" i="22"/>
  <c r="O40" i="22"/>
  <c r="O68" i="22"/>
  <c r="P40" i="22"/>
  <c r="P68" i="22"/>
  <c r="Q40" i="22"/>
  <c r="Q68" i="22"/>
  <c r="C41" i="22"/>
  <c r="C69" i="22"/>
  <c r="D38" i="22"/>
  <c r="D41" i="22"/>
  <c r="D69" i="22"/>
  <c r="E38" i="22"/>
  <c r="E41" i="22"/>
  <c r="E69" i="22"/>
  <c r="F38" i="22"/>
  <c r="F41" i="22"/>
  <c r="F69" i="22"/>
  <c r="G38" i="22"/>
  <c r="G41" i="22"/>
  <c r="G69" i="22"/>
  <c r="H38" i="22"/>
  <c r="H41" i="22"/>
  <c r="H69" i="22"/>
  <c r="I38" i="22"/>
  <c r="I41" i="22"/>
  <c r="I69" i="22"/>
  <c r="K69" i="22"/>
  <c r="L69" i="22"/>
  <c r="M69" i="22"/>
  <c r="N69" i="22"/>
  <c r="O69" i="22"/>
  <c r="P69" i="22"/>
  <c r="Q41" i="22"/>
  <c r="Q69" i="22"/>
  <c r="D96" i="29"/>
  <c r="C94" i="29"/>
  <c r="E96" i="29"/>
  <c r="F96" i="29"/>
  <c r="G96" i="29"/>
  <c r="H96" i="29"/>
  <c r="C60" i="29"/>
  <c r="D60" i="29"/>
  <c r="E60" i="29"/>
  <c r="F60" i="29"/>
  <c r="G60" i="29"/>
  <c r="H60" i="29"/>
  <c r="I60" i="29"/>
  <c r="C71" i="29"/>
  <c r="D11" i="29"/>
  <c r="E11" i="29"/>
  <c r="F11" i="29"/>
  <c r="G11" i="29"/>
  <c r="H11" i="29"/>
  <c r="I11" i="29"/>
  <c r="J11" i="29"/>
  <c r="C83" i="29"/>
  <c r="D45" i="29"/>
  <c r="D47" i="29"/>
  <c r="E45" i="29"/>
  <c r="E47" i="29"/>
  <c r="F45" i="29"/>
  <c r="F47" i="29"/>
  <c r="G45" i="29"/>
  <c r="G47" i="29"/>
  <c r="H45" i="29"/>
  <c r="H47" i="29"/>
  <c r="I45" i="29"/>
  <c r="I47" i="29"/>
  <c r="C45" i="29"/>
  <c r="C47" i="29"/>
  <c r="C49" i="29"/>
  <c r="D28" i="62"/>
  <c r="J96" i="29"/>
  <c r="I96" i="29"/>
  <c r="D22" i="29"/>
  <c r="B34" i="69"/>
  <c r="C34" i="69" s="1"/>
  <c r="D34" i="69" s="1"/>
  <c r="E34" i="69" s="1"/>
  <c r="F34" i="69" s="1"/>
  <c r="G34" i="69" s="1"/>
  <c r="H34" i="69" s="1"/>
  <c r="E14" i="69"/>
  <c r="C14" i="69"/>
  <c r="D14" i="69"/>
  <c r="F14" i="69"/>
  <c r="G14" i="69"/>
  <c r="D66" i="22"/>
  <c r="C13" i="69"/>
  <c r="C15" i="69" s="1"/>
  <c r="B14" i="69"/>
  <c r="C66" i="22"/>
  <c r="B13" i="69"/>
  <c r="B15" i="69" s="1"/>
  <c r="H14" i="69"/>
  <c r="E66" i="22"/>
  <c r="D13" i="69"/>
  <c r="D15" i="69" s="1"/>
  <c r="F66" i="22"/>
  <c r="E13" i="69"/>
  <c r="E15" i="69"/>
  <c r="G66" i="22"/>
  <c r="F13" i="69"/>
  <c r="F15" i="69" s="1"/>
  <c r="H66" i="22"/>
  <c r="G13" i="69"/>
  <c r="G15" i="69"/>
  <c r="I66" i="22"/>
  <c r="H13" i="69"/>
  <c r="H15" i="69" s="1"/>
  <c r="C45" i="21"/>
  <c r="C49" i="21"/>
  <c r="C96" i="22"/>
  <c r="C99" i="22"/>
  <c r="C100" i="22"/>
  <c r="C50" i="21"/>
  <c r="C51" i="21"/>
  <c r="C37" i="69"/>
  <c r="D45" i="21"/>
  <c r="D49" i="21"/>
  <c r="D96" i="22"/>
  <c r="D99" i="22"/>
  <c r="D100" i="22"/>
  <c r="D50" i="21"/>
  <c r="D51" i="21"/>
  <c r="D37" i="69"/>
  <c r="E45" i="21"/>
  <c r="E49" i="21"/>
  <c r="E96" i="22"/>
  <c r="E99" i="22"/>
  <c r="E100" i="22"/>
  <c r="E50" i="21"/>
  <c r="E51" i="21"/>
  <c r="E37" i="69"/>
  <c r="F45" i="21"/>
  <c r="F49" i="21"/>
  <c r="F96" i="22"/>
  <c r="F99" i="22"/>
  <c r="F100" i="22"/>
  <c r="F50" i="21"/>
  <c r="F51" i="21"/>
  <c r="F37" i="69"/>
  <c r="G45" i="21"/>
  <c r="G49" i="21"/>
  <c r="G96" i="22"/>
  <c r="G99" i="22"/>
  <c r="G100" i="22"/>
  <c r="G50" i="21"/>
  <c r="G51" i="21"/>
  <c r="G37" i="69"/>
  <c r="H45" i="21"/>
  <c r="H49" i="21"/>
  <c r="H96" i="22"/>
  <c r="H99" i="22"/>
  <c r="H100" i="22"/>
  <c r="H50" i="21"/>
  <c r="H51" i="21"/>
  <c r="H37" i="69"/>
  <c r="B45" i="21"/>
  <c r="B49" i="21"/>
  <c r="B96" i="22"/>
  <c r="B99" i="22"/>
  <c r="B100" i="22"/>
  <c r="B50" i="21"/>
  <c r="B51" i="21"/>
  <c r="B53" i="21"/>
  <c r="B37" i="69"/>
  <c r="B39" i="69" s="1"/>
  <c r="F93" i="23"/>
  <c r="E93" i="23"/>
  <c r="I29" i="68"/>
  <c r="H29" i="68"/>
  <c r="G29" i="68"/>
  <c r="F29" i="68"/>
  <c r="E29" i="68"/>
  <c r="D29" i="68"/>
  <c r="C29" i="68"/>
  <c r="C15" i="68"/>
  <c r="C25" i="68"/>
  <c r="C30" i="68"/>
  <c r="C7" i="68"/>
  <c r="C12" i="68"/>
  <c r="C31" i="68"/>
  <c r="C33" i="68"/>
  <c r="D32" i="68"/>
  <c r="D25" i="68"/>
  <c r="D30" i="68"/>
  <c r="D31" i="68"/>
  <c r="D33" i="68"/>
  <c r="E32" i="68"/>
  <c r="E25" i="68"/>
  <c r="E30" i="68"/>
  <c r="E31" i="68"/>
  <c r="E33" i="68"/>
  <c r="F32" i="68"/>
  <c r="F25" i="68"/>
  <c r="F30" i="68"/>
  <c r="F31" i="68"/>
  <c r="F33" i="68"/>
  <c r="G32" i="68"/>
  <c r="G25" i="68"/>
  <c r="G30" i="68"/>
  <c r="G31" i="68"/>
  <c r="G33" i="68"/>
  <c r="H32" i="68"/>
  <c r="H25" i="68"/>
  <c r="H30" i="68"/>
  <c r="H31" i="68"/>
  <c r="H33" i="68"/>
  <c r="I32" i="68"/>
  <c r="I25" i="68"/>
  <c r="I30" i="68"/>
  <c r="I31" i="68"/>
  <c r="I33" i="68"/>
  <c r="H8" i="69"/>
  <c r="H11" i="69" s="1"/>
  <c r="H20" i="69" s="1"/>
  <c r="B33" i="69"/>
  <c r="C33" i="69"/>
  <c r="D33" i="69" s="1"/>
  <c r="G8" i="69"/>
  <c r="G11" i="69"/>
  <c r="G20" i="69" s="1"/>
  <c r="G28" i="69"/>
  <c r="G31" i="69"/>
  <c r="F8" i="69"/>
  <c r="F11" i="69" s="1"/>
  <c r="F28" i="69"/>
  <c r="F31" i="69"/>
  <c r="E8" i="69"/>
  <c r="E11" i="69" s="1"/>
  <c r="E20" i="69" s="1"/>
  <c r="E28" i="69"/>
  <c r="E31" i="69"/>
  <c r="D8" i="69"/>
  <c r="D11" i="69" s="1"/>
  <c r="D28" i="69"/>
  <c r="D31" i="69"/>
  <c r="G93" i="23"/>
  <c r="E94" i="23"/>
  <c r="D94" i="23"/>
  <c r="C8" i="69"/>
  <c r="C11" i="69"/>
  <c r="C20" i="69" s="1"/>
  <c r="C28" i="69"/>
  <c r="C31" i="69"/>
  <c r="B8" i="69"/>
  <c r="B11" i="69"/>
  <c r="B20" i="69" s="1"/>
  <c r="B28" i="69"/>
  <c r="B31" i="69"/>
  <c r="D9" i="29"/>
  <c r="D14" i="29"/>
  <c r="D15" i="29"/>
  <c r="E9" i="29"/>
  <c r="E14" i="29"/>
  <c r="E15" i="29"/>
  <c r="F9" i="29"/>
  <c r="F14" i="29"/>
  <c r="F15" i="29"/>
  <c r="G9" i="29"/>
  <c r="G14" i="29"/>
  <c r="G15" i="29"/>
  <c r="H9" i="29"/>
  <c r="H14" i="29"/>
  <c r="H15" i="29"/>
  <c r="I9" i="29"/>
  <c r="I14" i="29"/>
  <c r="I15" i="29"/>
  <c r="J9" i="29"/>
  <c r="J14" i="29"/>
  <c r="J15" i="29"/>
  <c r="C15" i="29"/>
  <c r="C16" i="29"/>
  <c r="D18" i="29"/>
  <c r="E18" i="29"/>
  <c r="E19" i="29"/>
  <c r="F18" i="29"/>
  <c r="F19" i="29"/>
  <c r="G18" i="29"/>
  <c r="G19" i="29"/>
  <c r="H18" i="29"/>
  <c r="H19" i="29"/>
  <c r="I18" i="29"/>
  <c r="I19" i="29"/>
  <c r="J18" i="29"/>
  <c r="J19" i="29"/>
  <c r="D19" i="29"/>
  <c r="D20" i="29"/>
  <c r="F23" i="29"/>
  <c r="I95" i="29"/>
  <c r="I98" i="29"/>
  <c r="J95" i="29"/>
  <c r="J98" i="29"/>
  <c r="E95" i="29"/>
  <c r="E98" i="29"/>
  <c r="F95" i="29"/>
  <c r="F98" i="29"/>
  <c r="G95" i="29"/>
  <c r="G98" i="29"/>
  <c r="H95" i="29"/>
  <c r="H98" i="29"/>
  <c r="D95" i="29"/>
  <c r="D98" i="29"/>
  <c r="D99" i="29"/>
  <c r="E99" i="29"/>
  <c r="F99" i="29"/>
  <c r="G99" i="29"/>
  <c r="H99" i="29"/>
  <c r="C53" i="21"/>
  <c r="D53" i="21"/>
  <c r="E53" i="21"/>
  <c r="F53" i="21"/>
  <c r="G53" i="21"/>
  <c r="H53" i="21"/>
  <c r="D80" i="29"/>
  <c r="E80" i="29"/>
  <c r="F80" i="29"/>
  <c r="G80" i="29"/>
  <c r="H80" i="29"/>
  <c r="I80" i="29"/>
  <c r="C80" i="29"/>
  <c r="C82" i="29"/>
  <c r="C85" i="29"/>
  <c r="D29" i="62"/>
  <c r="D30" i="62"/>
  <c r="D58" i="29"/>
  <c r="D63" i="29"/>
  <c r="D67" i="29"/>
  <c r="E58" i="29"/>
  <c r="E63" i="29"/>
  <c r="E67" i="29"/>
  <c r="F58" i="29"/>
  <c r="F63" i="29"/>
  <c r="F67" i="29"/>
  <c r="G58" i="29"/>
  <c r="G63" i="29"/>
  <c r="G67" i="29"/>
  <c r="H58" i="29"/>
  <c r="H63" i="29"/>
  <c r="H67" i="29"/>
  <c r="I58" i="29"/>
  <c r="I63" i="29"/>
  <c r="I67" i="29"/>
  <c r="C58" i="29"/>
  <c r="C63" i="29"/>
  <c r="C67" i="29"/>
  <c r="C69" i="29"/>
  <c r="C73" i="29"/>
  <c r="D31" i="62"/>
  <c r="D101" i="29"/>
  <c r="D32" i="62"/>
  <c r="C115" i="29"/>
  <c r="D115" i="29"/>
  <c r="D109" i="29"/>
  <c r="D113" i="29"/>
  <c r="D117" i="29"/>
  <c r="E115" i="29"/>
  <c r="E109" i="29"/>
  <c r="E113" i="29"/>
  <c r="E117" i="29"/>
  <c r="F115" i="29"/>
  <c r="F109" i="29"/>
  <c r="F113" i="29"/>
  <c r="F117" i="29"/>
  <c r="G115" i="29"/>
  <c r="G109" i="29"/>
  <c r="G113" i="29"/>
  <c r="G117" i="29"/>
  <c r="H115" i="29"/>
  <c r="H109" i="29"/>
  <c r="H113" i="29"/>
  <c r="H117" i="29"/>
  <c r="I115" i="29"/>
  <c r="I109" i="29"/>
  <c r="I113" i="29"/>
  <c r="I117" i="29"/>
  <c r="C109" i="29"/>
  <c r="C113" i="29"/>
  <c r="C117" i="29"/>
  <c r="C119" i="29"/>
  <c r="D33" i="62"/>
  <c r="J40" i="21"/>
  <c r="J42" i="21"/>
  <c r="E33" i="69" l="1"/>
  <c r="D20" i="69"/>
  <c r="B41" i="69"/>
  <c r="B43" i="69" s="1"/>
  <c r="B46" i="69" s="1"/>
  <c r="C36" i="69"/>
  <c r="C39" i="69" s="1"/>
  <c r="F20" i="69"/>
  <c r="D36" i="69" l="1"/>
  <c r="D39" i="69" s="1"/>
  <c r="C41" i="69"/>
  <c r="C43" i="69" s="1"/>
  <c r="C46" i="69" s="1"/>
  <c r="F33" i="69"/>
  <c r="E36" i="69" l="1"/>
  <c r="E39" i="69" s="1"/>
  <c r="D41" i="69"/>
  <c r="D43" i="69" s="1"/>
  <c r="D46" i="69" s="1"/>
  <c r="G33" i="69"/>
  <c r="F36" i="69" l="1"/>
  <c r="F39" i="69" s="1"/>
  <c r="E41" i="69"/>
  <c r="E43" i="69" s="1"/>
  <c r="E46" i="69" s="1"/>
  <c r="H33" i="69"/>
  <c r="G36" i="69" l="1"/>
  <c r="G39" i="69" s="1"/>
  <c r="F41" i="69"/>
  <c r="F43" i="69" s="1"/>
  <c r="F46" i="69" s="1"/>
  <c r="H36" i="69" l="1"/>
  <c r="H39" i="69" s="1"/>
  <c r="H41" i="69" s="1"/>
  <c r="H43" i="69" s="1"/>
  <c r="H46" i="69" s="1"/>
  <c r="G41" i="69"/>
  <c r="G43" i="69" s="1"/>
  <c r="G46" i="69" s="1"/>
</calcChain>
</file>

<file path=xl/sharedStrings.xml><?xml version="1.0" encoding="utf-8"?>
<sst xmlns="http://schemas.openxmlformats.org/spreadsheetml/2006/main" count="1431" uniqueCount="719">
  <si>
    <t>Particulars</t>
  </si>
  <si>
    <t>Total</t>
  </si>
  <si>
    <t>Y1</t>
  </si>
  <si>
    <t>Y2</t>
  </si>
  <si>
    <t>Y3</t>
  </si>
  <si>
    <t>Y4</t>
  </si>
  <si>
    <t>Y5</t>
  </si>
  <si>
    <t>Operating Profit</t>
  </si>
  <si>
    <t>Total Receipts</t>
  </si>
  <si>
    <t>Admin Expenses</t>
  </si>
  <si>
    <t>Office Electricity Exp</t>
  </si>
  <si>
    <t>Year 1</t>
  </si>
  <si>
    <t>Year 2</t>
  </si>
  <si>
    <t>Year 3</t>
  </si>
  <si>
    <t>Year 4</t>
  </si>
  <si>
    <t>Year 5</t>
  </si>
  <si>
    <t>Year 6</t>
  </si>
  <si>
    <t>Depreciation</t>
  </si>
  <si>
    <t>Particluars</t>
  </si>
  <si>
    <t>Opening Balance</t>
  </si>
  <si>
    <t xml:space="preserve">Interest </t>
  </si>
  <si>
    <t>Pricipal Repayment</t>
  </si>
  <si>
    <t>EMI</t>
  </si>
  <si>
    <t>Closing Outstanding</t>
  </si>
  <si>
    <t>Interest on Term loan</t>
  </si>
  <si>
    <t>Profit Before Tax</t>
  </si>
  <si>
    <t>Less. Tax</t>
  </si>
  <si>
    <t>Net Profit</t>
  </si>
  <si>
    <t>Profit After Tax</t>
  </si>
  <si>
    <t xml:space="preserve">Particular </t>
  </si>
  <si>
    <t>Profit after Tax &amp; Diivdend</t>
  </si>
  <si>
    <r>
      <t>Add</t>
    </r>
    <r>
      <rPr>
        <sz val="11"/>
        <color indexed="8"/>
        <rFont val="Times New Roman"/>
        <family val="1"/>
      </rPr>
      <t>: Deprication</t>
    </r>
  </si>
  <si>
    <t xml:space="preserve">Net Cash Accrual (A)      </t>
  </si>
  <si>
    <t>Presnt Value of Future Inflows</t>
  </si>
  <si>
    <t>Operating Net Cash Inflow</t>
  </si>
  <si>
    <t>Present Capital Outflow</t>
  </si>
  <si>
    <t>Add: Preliminary expense written off</t>
  </si>
  <si>
    <t>Gross Receipts</t>
  </si>
  <si>
    <t>Total Variable Exp</t>
  </si>
  <si>
    <t>Contribution</t>
  </si>
  <si>
    <t>BEP</t>
  </si>
  <si>
    <t>Total Fixed exp</t>
  </si>
  <si>
    <t>Add: Deprication</t>
  </si>
  <si>
    <t>PV Factor @ 10 %</t>
  </si>
  <si>
    <t>Disc Cash Flow</t>
  </si>
  <si>
    <t>Total Discounted Cash Flows</t>
  </si>
  <si>
    <t>Present Value of Outflow</t>
  </si>
  <si>
    <t>NPV</t>
  </si>
  <si>
    <t>Add. Preliminary exp Written off</t>
  </si>
  <si>
    <t>ASSETS</t>
  </si>
  <si>
    <t>Current Assets</t>
  </si>
  <si>
    <t>1. Inflation is assumed to be 5% anually.</t>
  </si>
  <si>
    <t>Month 1</t>
  </si>
  <si>
    <t>Month 2</t>
  </si>
  <si>
    <t>Month 3</t>
  </si>
  <si>
    <t>Month 4</t>
  </si>
  <si>
    <t>Month 5</t>
  </si>
  <si>
    <t>Month 6</t>
  </si>
  <si>
    <t>Month 7</t>
  </si>
  <si>
    <t>Month 8</t>
  </si>
  <si>
    <t>Month 9</t>
  </si>
  <si>
    <t>Month 10</t>
  </si>
  <si>
    <t>Month 11</t>
  </si>
  <si>
    <t>Month 12</t>
  </si>
  <si>
    <t>Month 13</t>
  </si>
  <si>
    <t>Month 14</t>
  </si>
  <si>
    <t>Month 15</t>
  </si>
  <si>
    <t>Month 16</t>
  </si>
  <si>
    <t>Month 17</t>
  </si>
  <si>
    <t>Month 18</t>
  </si>
  <si>
    <t>Month 19</t>
  </si>
  <si>
    <t>Month 20</t>
  </si>
  <si>
    <t>Month 21</t>
  </si>
  <si>
    <t>Month 22</t>
  </si>
  <si>
    <t>Month 23</t>
  </si>
  <si>
    <t>Month 24</t>
  </si>
  <si>
    <t>Month 25</t>
  </si>
  <si>
    <t>Month 26</t>
  </si>
  <si>
    <t>Month 27</t>
  </si>
  <si>
    <t>Month 28</t>
  </si>
  <si>
    <t>Month 29</t>
  </si>
  <si>
    <t>Month 30</t>
  </si>
  <si>
    <t>Month 31</t>
  </si>
  <si>
    <t>Month 32</t>
  </si>
  <si>
    <t>Month 33</t>
  </si>
  <si>
    <t>Month 34</t>
  </si>
  <si>
    <t>Month 35</t>
  </si>
  <si>
    <t>Month 36</t>
  </si>
  <si>
    <t>Month 37</t>
  </si>
  <si>
    <t>Month 38</t>
  </si>
  <si>
    <t>Month 39</t>
  </si>
  <si>
    <t>Month 40</t>
  </si>
  <si>
    <t>Month 41</t>
  </si>
  <si>
    <t>Month 42</t>
  </si>
  <si>
    <t>Month 43</t>
  </si>
  <si>
    <t>Month 44</t>
  </si>
  <si>
    <t>Month 45</t>
  </si>
  <si>
    <t>Month 46</t>
  </si>
  <si>
    <t>Month 47</t>
  </si>
  <si>
    <t>Month 48</t>
  </si>
  <si>
    <t>Month 49</t>
  </si>
  <si>
    <t>Month 50</t>
  </si>
  <si>
    <t>Month 51</t>
  </si>
  <si>
    <t>Month 52</t>
  </si>
  <si>
    <t>Month 53</t>
  </si>
  <si>
    <t>Month 54</t>
  </si>
  <si>
    <t>Month 55</t>
  </si>
  <si>
    <t>Month 56</t>
  </si>
  <si>
    <t>Month 57</t>
  </si>
  <si>
    <t>Month 58</t>
  </si>
  <si>
    <t>Month 59</t>
  </si>
  <si>
    <t>Month 60</t>
  </si>
  <si>
    <t>Month 61</t>
  </si>
  <si>
    <t>Month 62</t>
  </si>
  <si>
    <t>Month 63</t>
  </si>
  <si>
    <t>Month 64</t>
  </si>
  <si>
    <t>Month 65</t>
  </si>
  <si>
    <t>Month 66</t>
  </si>
  <si>
    <t>Month 67</t>
  </si>
  <si>
    <t>Month 68</t>
  </si>
  <si>
    <t>Month 69</t>
  </si>
  <si>
    <t>Month 70</t>
  </si>
  <si>
    <t>Month 71</t>
  </si>
  <si>
    <t>Month 72</t>
  </si>
  <si>
    <t>Average net profit</t>
  </si>
  <si>
    <t>Total Project cost</t>
  </si>
  <si>
    <t>ROI</t>
  </si>
  <si>
    <t>Revenue</t>
  </si>
  <si>
    <t>Particular</t>
  </si>
  <si>
    <t>Opperating profit</t>
  </si>
  <si>
    <t>Total Expenses</t>
  </si>
  <si>
    <t>Telephone and internet Exp</t>
  </si>
  <si>
    <t xml:space="preserve">         Total Admin Expense</t>
  </si>
  <si>
    <t>Unit</t>
  </si>
  <si>
    <t>Average BEP</t>
  </si>
  <si>
    <t>Own Contribution</t>
  </si>
  <si>
    <t>Operating cost</t>
  </si>
  <si>
    <t>Profit Before Depreciation ,Interest and Tax</t>
  </si>
  <si>
    <t>Amortization</t>
  </si>
  <si>
    <t>Profit Before Interest and Tax</t>
  </si>
  <si>
    <t>Output</t>
  </si>
  <si>
    <t>Dal Mill</t>
  </si>
  <si>
    <t>Husk and Powder</t>
  </si>
  <si>
    <t>Expenses</t>
  </si>
  <si>
    <t>Total Revenue</t>
  </si>
  <si>
    <t>Electricity Charges</t>
  </si>
  <si>
    <t>Sr. No.</t>
  </si>
  <si>
    <t>No. of Unit</t>
  </si>
  <si>
    <t>Rate per unit</t>
  </si>
  <si>
    <t>Land</t>
  </si>
  <si>
    <t>Sq. ft.</t>
  </si>
  <si>
    <t>Lease</t>
  </si>
  <si>
    <t>Description</t>
  </si>
  <si>
    <t>No. Required</t>
  </si>
  <si>
    <t>Rate</t>
  </si>
  <si>
    <t>Total HP</t>
  </si>
  <si>
    <t>Land and Building</t>
  </si>
  <si>
    <t>Machinery and Equipment</t>
  </si>
  <si>
    <t>Working Capital</t>
  </si>
  <si>
    <t>Bank Finance - Long Term Loan</t>
  </si>
  <si>
    <t>Amount (Rs.)</t>
  </si>
  <si>
    <t>Vehical</t>
  </si>
  <si>
    <t>Land Lease</t>
  </si>
  <si>
    <t>Capacity</t>
  </si>
  <si>
    <t>No. of Hours</t>
  </si>
  <si>
    <t>Bengal Gram</t>
  </si>
  <si>
    <t>Red Gram</t>
  </si>
  <si>
    <t>Job Work (50%)</t>
  </si>
  <si>
    <t>Quantity for sale (50%)</t>
  </si>
  <si>
    <t>Soybean</t>
  </si>
  <si>
    <t>Y7</t>
  </si>
  <si>
    <t>Y6</t>
  </si>
  <si>
    <t>No. of Operation Days</t>
  </si>
  <si>
    <t>Subtotal</t>
  </si>
  <si>
    <t>Transportation Cost</t>
  </si>
  <si>
    <t>A</t>
  </si>
  <si>
    <t>B</t>
  </si>
  <si>
    <t>C</t>
  </si>
  <si>
    <t>D</t>
  </si>
  <si>
    <t>Vegetable</t>
  </si>
  <si>
    <t>Kharif Crops</t>
  </si>
  <si>
    <t>Urea</t>
  </si>
  <si>
    <t>Pesticide</t>
  </si>
  <si>
    <t>DAP</t>
  </si>
  <si>
    <t>Rabi Crop</t>
  </si>
  <si>
    <t>Requirement of Input material</t>
  </si>
  <si>
    <t>Seeds</t>
  </si>
  <si>
    <t>Fertilizers</t>
  </si>
  <si>
    <t>Dupont Coragen</t>
  </si>
  <si>
    <t>Confidor Boyer</t>
  </si>
  <si>
    <t>Machine Operator</t>
  </si>
  <si>
    <t>Accountant</t>
  </si>
  <si>
    <t>Printing &amp; Stationary</t>
  </si>
  <si>
    <t>Misc.expenses</t>
  </si>
  <si>
    <t>Audit and Legal Compliences expenses</t>
  </si>
  <si>
    <t>Support Staff</t>
  </si>
  <si>
    <t>Watchmen</t>
  </si>
  <si>
    <t>As per companies Act</t>
  </si>
  <si>
    <t>As per IT Act</t>
  </si>
  <si>
    <t>Assets</t>
  </si>
  <si>
    <t>Asset Value</t>
  </si>
  <si>
    <t>Accumulated Depreciation</t>
  </si>
  <si>
    <t>Net Fixed Assets</t>
  </si>
  <si>
    <t>Building</t>
  </si>
  <si>
    <t>Plant and Machinary</t>
  </si>
  <si>
    <t>Furniture and Electrification</t>
  </si>
  <si>
    <t>Gross Fixed Asset</t>
  </si>
  <si>
    <t xml:space="preserve">Total Depreciation </t>
  </si>
  <si>
    <t>Accumalated Depreciation</t>
  </si>
  <si>
    <t>Amortization: Straight Line Method (SLM) is used</t>
  </si>
  <si>
    <t>Companies Act</t>
  </si>
  <si>
    <t>IT Act</t>
  </si>
  <si>
    <t>Depreciation: Straight Line Method (SLM) is used</t>
  </si>
  <si>
    <t>SLM</t>
  </si>
  <si>
    <t>WDV</t>
  </si>
  <si>
    <t>IT and Infrastructure</t>
  </si>
  <si>
    <t>Plant and machinery</t>
  </si>
  <si>
    <t>Pre-operative or pre-incubation</t>
  </si>
  <si>
    <t>Month 73</t>
  </si>
  <si>
    <t>Month 74</t>
  </si>
  <si>
    <t>Month 75</t>
  </si>
  <si>
    <t>Month 76</t>
  </si>
  <si>
    <t>Month 77</t>
  </si>
  <si>
    <t>Month 78</t>
  </si>
  <si>
    <t>Month 79</t>
  </si>
  <si>
    <t>Month 80</t>
  </si>
  <si>
    <t>Month 81</t>
  </si>
  <si>
    <t>Month 82</t>
  </si>
  <si>
    <t>Month 83</t>
  </si>
  <si>
    <t>Month 84</t>
  </si>
  <si>
    <t>EBT</t>
  </si>
  <si>
    <t>Add Depreciation as per companies Act</t>
  </si>
  <si>
    <t>Less Depreciation as per IT Act</t>
  </si>
  <si>
    <t>Provision of Taxes</t>
  </si>
  <si>
    <t xml:space="preserve">Sr. </t>
  </si>
  <si>
    <t>Equity/ Share capital</t>
  </si>
  <si>
    <t>Long Term Loan</t>
  </si>
  <si>
    <t>Short Term Loan</t>
  </si>
  <si>
    <t>Sub Total (A)</t>
  </si>
  <si>
    <t>Cash Outflow (Rs.)</t>
  </si>
  <si>
    <t>Capital Expenditure</t>
  </si>
  <si>
    <t>a</t>
  </si>
  <si>
    <t>b</t>
  </si>
  <si>
    <t>Operational Expenditure</t>
  </si>
  <si>
    <t>LTL - Principal</t>
  </si>
  <si>
    <t>LTL - Interest</t>
  </si>
  <si>
    <t>STL - Principal</t>
  </si>
  <si>
    <t>STL - Interest</t>
  </si>
  <si>
    <t>Tax</t>
  </si>
  <si>
    <t>Sub Total (B)</t>
  </si>
  <si>
    <t>Net Cash Flow (A-B)</t>
  </si>
  <si>
    <t>Opening Cash and Bank</t>
  </si>
  <si>
    <t>Cumulative Cash Balance</t>
  </si>
  <si>
    <t>Cash and Bank Balance</t>
  </si>
  <si>
    <t>Accounts Receivables</t>
  </si>
  <si>
    <t>Total Current Assets</t>
  </si>
  <si>
    <t>Gross Fixed Assets</t>
  </si>
  <si>
    <t>Less: Depriciation</t>
  </si>
  <si>
    <t>Preliminary Expenses</t>
  </si>
  <si>
    <t>TOTAL ASSETS</t>
  </si>
  <si>
    <t>LIABILITIES &amp; SHAREHOLDERS EQUITY</t>
  </si>
  <si>
    <t>CURRENT LIABILITIES</t>
  </si>
  <si>
    <t>Short Term Debt (Working capital loan)</t>
  </si>
  <si>
    <t>Accounts Payable &amp; Accrued Expenses</t>
  </si>
  <si>
    <t>Other Current Liabilities</t>
  </si>
  <si>
    <t>Total Curent Liabilities</t>
  </si>
  <si>
    <t xml:space="preserve">Secured Long Term Debt </t>
  </si>
  <si>
    <t>Differed Tax Liabilities</t>
  </si>
  <si>
    <t>TOTAL LIABILITIES</t>
  </si>
  <si>
    <t>Share capital</t>
  </si>
  <si>
    <t>Reserves and Surplus</t>
  </si>
  <si>
    <t>Add: Opening Balance (P/L Account)</t>
  </si>
  <si>
    <t>Profit &amp; Loss) During the Year</t>
  </si>
  <si>
    <t>Appropriation - Dividend</t>
  </si>
  <si>
    <t>Total Reserves</t>
  </si>
  <si>
    <t xml:space="preserve">TOTAL EQUITY </t>
  </si>
  <si>
    <t>TOTAL LIABILITIES &amp; EQUITY</t>
  </si>
  <si>
    <t>CONTROL TICKER</t>
  </si>
  <si>
    <t>(=Liability - Asset)</t>
  </si>
  <si>
    <t>c</t>
  </si>
  <si>
    <t>Vehicle</t>
  </si>
  <si>
    <t>d</t>
  </si>
  <si>
    <t>Premilinary Expenses</t>
  </si>
  <si>
    <t>Year 7</t>
  </si>
  <si>
    <t>IRR</t>
  </si>
  <si>
    <t>Initial Investment</t>
  </si>
  <si>
    <t>Cashflow - Initial Investment</t>
  </si>
  <si>
    <t>Payback period (in years) - Project</t>
  </si>
  <si>
    <t>Total Annual EMI</t>
  </si>
  <si>
    <t>Output (KG)</t>
  </si>
  <si>
    <t>Seeds (Rate/KG)</t>
  </si>
  <si>
    <t>Fertilizer(Rate/KG)</t>
  </si>
  <si>
    <t>Unit Cost</t>
  </si>
  <si>
    <t>Taxable Income</t>
  </si>
  <si>
    <t>Year</t>
  </si>
  <si>
    <t>Loading &amp; Unloading</t>
  </si>
  <si>
    <t>Reivestment</t>
  </si>
  <si>
    <t>Dal Mill Unit</t>
  </si>
  <si>
    <t>Job Work Charges</t>
  </si>
  <si>
    <t>Loading/Unloading Charges</t>
  </si>
  <si>
    <t>packaging Exp</t>
  </si>
  <si>
    <t>Transportation Charges</t>
  </si>
  <si>
    <t>Total expenses</t>
  </si>
  <si>
    <t>MT</t>
  </si>
  <si>
    <t>Warehouse</t>
  </si>
  <si>
    <t>No.of Month</t>
  </si>
  <si>
    <t>Capacity Utilisation</t>
  </si>
  <si>
    <t>Dunnage</t>
  </si>
  <si>
    <t>Fumigation</t>
  </si>
  <si>
    <t>Eletricity</t>
  </si>
  <si>
    <t>Total Hours in a year</t>
  </si>
  <si>
    <t>Variable Expenses</t>
  </si>
  <si>
    <t>Diesel</t>
  </si>
  <si>
    <t>Daily Labour</t>
  </si>
  <si>
    <t>Fixed Cost</t>
  </si>
  <si>
    <t>Driver</t>
  </si>
  <si>
    <t>Variable Cost</t>
  </si>
  <si>
    <t>Daily Lobour</t>
  </si>
  <si>
    <t>Operating Income</t>
  </si>
  <si>
    <t>Operaing Income</t>
  </si>
  <si>
    <t>Black Gram</t>
  </si>
  <si>
    <t>Green Gram</t>
  </si>
  <si>
    <t xml:space="preserve">Black Gram </t>
  </si>
  <si>
    <t>Red gram</t>
  </si>
  <si>
    <t>Black gram</t>
  </si>
  <si>
    <t xml:space="preserve">Daily Labour </t>
  </si>
  <si>
    <t>Total Variable Cost</t>
  </si>
  <si>
    <t>Total Quantity Stored per Annum</t>
  </si>
  <si>
    <t>Warehouse Manager</t>
  </si>
  <si>
    <t>Storage Charges per MT per Month</t>
  </si>
  <si>
    <t>Total Fixed Cost</t>
  </si>
  <si>
    <t>Rent</t>
  </si>
  <si>
    <t>Agri Input Center Manager</t>
  </si>
  <si>
    <t>Electricty Charges</t>
  </si>
  <si>
    <t xml:space="preserve"> Manager</t>
  </si>
  <si>
    <t>Total Cost</t>
  </si>
  <si>
    <t>IT Infrastracture</t>
  </si>
  <si>
    <t>Furniture &amp; Fixture</t>
  </si>
  <si>
    <t xml:space="preserve">Govt. Grant under SMART Project </t>
  </si>
  <si>
    <t>It Infrastructure</t>
  </si>
  <si>
    <t>e</t>
  </si>
  <si>
    <t>f</t>
  </si>
  <si>
    <t>Y0</t>
  </si>
  <si>
    <t>Debt Service Coverage  Ratio (DCSR)</t>
  </si>
  <si>
    <t xml:space="preserve">Avergae DSCR </t>
  </si>
  <si>
    <t>Net Operating Income</t>
  </si>
  <si>
    <t>Years</t>
  </si>
  <si>
    <t>Total Value</t>
  </si>
  <si>
    <t>Add: Opening Stock</t>
  </si>
  <si>
    <t>Less: Closing Stock</t>
  </si>
  <si>
    <t>Purchase Price</t>
  </si>
  <si>
    <t>Initial Investment/ Net Cash Accrual</t>
  </si>
  <si>
    <t>Closing Stock</t>
  </si>
  <si>
    <t>Accounts Receivables (Debtors)</t>
  </si>
  <si>
    <t>Accounts Payable &amp; Accrued Expenses (Creditors)</t>
  </si>
  <si>
    <t>Add: Depreciation</t>
  </si>
  <si>
    <t>Add: Amortization</t>
  </si>
  <si>
    <t>Intwerest on TL</t>
  </si>
  <si>
    <t>Quantity Variation (+5%)</t>
  </si>
  <si>
    <t>Total Income</t>
  </si>
  <si>
    <t>Expenditure</t>
  </si>
  <si>
    <t>Fixed Cost (Excl. of Depreciation, Amortization and Interest)</t>
  </si>
  <si>
    <t>Total Operational Expenses</t>
  </si>
  <si>
    <t>Net Income</t>
  </si>
  <si>
    <t>Cost Variation (+5%)</t>
  </si>
  <si>
    <t>Quantity Variation (-5%)</t>
  </si>
  <si>
    <t>Cost Variation (-5%)</t>
  </si>
  <si>
    <t>Kg</t>
  </si>
  <si>
    <t>Quintals</t>
  </si>
  <si>
    <t>Oil (Liters)</t>
  </si>
  <si>
    <t>Custom Hiring</t>
  </si>
  <si>
    <t>Cleaning &amp; Grading</t>
  </si>
  <si>
    <t>Total Revnue</t>
  </si>
  <si>
    <t>Duration (In days)</t>
  </si>
  <si>
    <t>Opening Stock</t>
  </si>
  <si>
    <t>Agri Input</t>
  </si>
  <si>
    <t>Purachse Price</t>
  </si>
  <si>
    <t>Total Cost of Production</t>
  </si>
  <si>
    <t>Quantity Variance</t>
  </si>
  <si>
    <t>Cost Variance</t>
  </si>
  <si>
    <t>Amount  (Rs.)</t>
  </si>
  <si>
    <t>IT &amp; It Infrastracture</t>
  </si>
  <si>
    <t>Furniture and Fixture</t>
  </si>
  <si>
    <t>Profit after Tax &amp; Dividend</t>
  </si>
  <si>
    <t>Break Even Point (BEP)</t>
  </si>
  <si>
    <t>Project Viable</t>
  </si>
  <si>
    <t>&lt;60%</t>
  </si>
  <si>
    <t>Avg. Return on Capital Employed Average (ROCE)</t>
  </si>
  <si>
    <t>&gt;20%</t>
  </si>
  <si>
    <t>Internal Rate of Return (IRR)</t>
  </si>
  <si>
    <t>&gt;12%</t>
  </si>
  <si>
    <t>Net present value (at a discount rate of 10 per cent)</t>
  </si>
  <si>
    <t>Positive</t>
  </si>
  <si>
    <t>Payback period</t>
  </si>
  <si>
    <t>Debt Service Coverage Ratio (DSCR)</t>
  </si>
  <si>
    <t>NPV is high and positive at a conservative project life of 7 years</t>
  </si>
  <si>
    <t>&lt;7 years</t>
  </si>
  <si>
    <t xml:space="preserve">           &gt;2</t>
  </si>
  <si>
    <t>No.of Unit</t>
  </si>
  <si>
    <t>No.</t>
  </si>
  <si>
    <t>Months</t>
  </si>
  <si>
    <t>Lumsum</t>
  </si>
  <si>
    <t>Maximum Tax rate</t>
  </si>
  <si>
    <t>Season</t>
  </si>
  <si>
    <t>Crop</t>
  </si>
  <si>
    <t>Total Production (In Quintals)</t>
  </si>
  <si>
    <t>Marketable Surplus ( In Quintals)</t>
  </si>
  <si>
    <t>Kharif</t>
  </si>
  <si>
    <t>Maize</t>
  </si>
  <si>
    <t>Rabbi</t>
  </si>
  <si>
    <t>Wheat</t>
  </si>
  <si>
    <t>Bengal Gram/Channa</t>
  </si>
  <si>
    <t>Jawar</t>
  </si>
  <si>
    <t xml:space="preserve">Note- Please note the crops/fruits/vegetable grown in the FPC catchement which has marketable Surplus </t>
  </si>
  <si>
    <t>Need to change/Place Values Manually</t>
  </si>
  <si>
    <t>Need to change figures subject to</t>
  </si>
  <si>
    <t>SSP</t>
  </si>
  <si>
    <t xml:space="preserve">Present Value Equivalent </t>
  </si>
  <si>
    <t>Projected Consolidated Profit and Loss account is to give a projection of how much money you will bring in by selling products or services and how much profit you will make from these sales.</t>
  </si>
  <si>
    <t>A projected cash flow statement is used to evaluate cash inflows and outflows to deter. mine when, how much, and for how long cash deficits or surpluses will exist for a farm business during an upcoming time period. </t>
  </si>
  <si>
    <t>This Sheet provide details of land and various construction, including area, rate per unit and total amount</t>
  </si>
  <si>
    <t>This Sheet provide details of Plant &amp; Machinary, including Capacity, rate per machaine, Power Consuption and total amount</t>
  </si>
  <si>
    <t>This Sheet provide details of furniture and fixture, no.of Quantity, rate per unit and total amount</t>
  </si>
  <si>
    <t>Working capital, also known as net working capital (NWC), is the difference between a company’s current assets, such as accounts receivable (customers’ unpaid bills), and inventories of raw materials and finished goods, and its current liabilities, such as accounts payable.This sheet provide requirement of working capital for running business</t>
  </si>
  <si>
    <t>pre-operative</t>
  </si>
  <si>
    <t>Total Project Costs means  the costs incurred or to be incurred by a FPC in connection with or incidental to the Construction and acquisition of assets including preoprtaive expenditure , design, construction and Working Capital</t>
  </si>
  <si>
    <t>This sheet provide details of how total project cost will raised</t>
  </si>
  <si>
    <t>This Sheet Provide details of loan repayment schedule. The borrower is able to check how much of the monthly EMI is being allocated towards the repayment of the principal outstanding and interest respectively, depending on the rate of interest and tenure of the loan.</t>
  </si>
  <si>
    <t>Closing Stock is an amount of unsold stock lying in your business on a given date. In simple words, it's the inventory which is still in your business waiting to be sold for a given period. The closing stock can be in various forms such as raw materials, in-process goods (WIP) or finished goods</t>
  </si>
  <si>
    <t xml:space="preserve">This sheet provide details of sale, expenses and operating profit of agri input activity </t>
  </si>
  <si>
    <t xml:space="preserve">This sheet provide details of sale, expenses and operating profit of custom hiring activity </t>
  </si>
  <si>
    <t>This sheet provide details capacity utilization of machines and also sale, expenses and operating profit of trading activity</t>
  </si>
  <si>
    <t>This sheet provide details capacity utilization of machines and also sale, expenses and operating profit of Dal Mill activity</t>
  </si>
  <si>
    <t>This Sheet refer for provision of tax calculation</t>
  </si>
  <si>
    <t>The internal rate of return (IRR) is a ratio used in financial analysis to estimate the profitability of potential investments. IRR is a discount rate that makes the net present value (NPV) of all cash flows equal to zero in a discounted cash flow analysis.</t>
  </si>
  <si>
    <t>Break-even point (BEP) is a term in accounting that refers to the situation where a company’s revenues and expenses were equal within a specific period. It means that there were no net profits or no net losses for the company The main purpose of break-even analysis is to determine the minimum output that must be exceeded for a business to profit.</t>
  </si>
  <si>
    <t>Net present value is the present value of the cash flows at the required rate of return of your project compared to your initial investment. If the NPV of a project or investment is positive, it means that the discounted present value of all future cash flows related to that project or investment will be positive.</t>
  </si>
  <si>
    <t>Return on investment (ROI) is a performance measure used to evaluate the efficiency or profitability of an investment</t>
  </si>
  <si>
    <t>The payback period refers to the amount of time it takes to recover the cost of an investment </t>
  </si>
  <si>
    <t>the debt-service coverage ratio (DSCR) is a measurement of a firm's available cash flow to pay current debt obligations. The DSCR shows investors whether a company has enough income to pay its debts.</t>
  </si>
  <si>
    <t>Custom Hiring Equipment</t>
  </si>
  <si>
    <t>Working Days</t>
  </si>
  <si>
    <t>No.of Hours in day</t>
  </si>
  <si>
    <t>No.of Equipment</t>
  </si>
  <si>
    <t>Required Hrs/Acre</t>
  </si>
  <si>
    <t xml:space="preserve">Total Acres </t>
  </si>
  <si>
    <t>No.of Liters Diesel Required/acre</t>
  </si>
  <si>
    <t>Service Charges/Acre (Amount (Rs.)</t>
  </si>
  <si>
    <t>Labour Requirement</t>
  </si>
  <si>
    <t xml:space="preserve">Total no.of Liters required </t>
  </si>
  <si>
    <t>Litres</t>
  </si>
  <si>
    <t>Total No. of Days Labour Reuired</t>
  </si>
  <si>
    <t>No. of Days</t>
  </si>
  <si>
    <t xml:space="preserve">Custom Hiring Charges </t>
  </si>
  <si>
    <t>This Sheet provide details of vehicles, no.of vehicle, rate per vehicle and total amount</t>
  </si>
  <si>
    <t>Preliminary expenses are considered as prior expenses before the beginning of business or Projects</t>
  </si>
  <si>
    <t>Packaging (In Kg)</t>
  </si>
  <si>
    <t>Cultivation In (%)</t>
  </si>
  <si>
    <t>No.of Operation Days</t>
  </si>
  <si>
    <t>Quinatal/Hour</t>
  </si>
  <si>
    <t>Trading</t>
  </si>
  <si>
    <t>Process</t>
  </si>
  <si>
    <t>total</t>
  </si>
  <si>
    <t>%</t>
  </si>
  <si>
    <t>Input</t>
  </si>
  <si>
    <t>Total Land under Cultivaion ( In Acres)</t>
  </si>
  <si>
    <t>Yield/Acres  (In Quintals)</t>
  </si>
  <si>
    <t>Transporation Cost/100 Kg</t>
  </si>
  <si>
    <t>Gunny Bags/100 Kg</t>
  </si>
  <si>
    <t>Total Quantity to be Processed</t>
  </si>
  <si>
    <t>Dal (80%)</t>
  </si>
  <si>
    <t>Summer</t>
  </si>
  <si>
    <t xml:space="preserve">Grant (%) </t>
  </si>
  <si>
    <t>Grant Amount (Rs.)</t>
  </si>
  <si>
    <t>Loan Amount (Rs)</t>
  </si>
  <si>
    <t>Interest rate /PA</t>
  </si>
  <si>
    <t>Loan Tenure in years</t>
  </si>
  <si>
    <t>Moratorium Period ( In Months)</t>
  </si>
  <si>
    <t>Qtls P Hour</t>
  </si>
  <si>
    <t>Quanity for Processing and Trading for PC</t>
  </si>
  <si>
    <t>Bajra</t>
  </si>
  <si>
    <t>Grains</t>
  </si>
  <si>
    <t>Fruit and Vegetables</t>
  </si>
  <si>
    <t>Tentative Wastage Percentage</t>
  </si>
  <si>
    <t>Commodity</t>
  </si>
  <si>
    <t>Percentage</t>
  </si>
  <si>
    <t>Green Gram/ Moong</t>
  </si>
  <si>
    <t>Black Gram/Udid</t>
  </si>
  <si>
    <t>Paddy/Rice</t>
  </si>
  <si>
    <t>Red Gram/Tur</t>
  </si>
  <si>
    <t>Sunflower</t>
  </si>
  <si>
    <t>Safflower</t>
  </si>
  <si>
    <t>Groundnut</t>
  </si>
  <si>
    <t>Area Under Summer Cultivation ( In Acres)</t>
  </si>
  <si>
    <t>Area Under Rabbi Cultivation ( In Acres)</t>
  </si>
  <si>
    <t>Onion</t>
  </si>
  <si>
    <t>Tomato</t>
  </si>
  <si>
    <t>Okra</t>
  </si>
  <si>
    <t>Chilli</t>
  </si>
  <si>
    <t>Brinjal</t>
  </si>
  <si>
    <t>Potato</t>
  </si>
  <si>
    <t>Pomegranate</t>
  </si>
  <si>
    <t>Custard Apple</t>
  </si>
  <si>
    <t>Guava</t>
  </si>
  <si>
    <t>Citrus</t>
  </si>
  <si>
    <t>Total No.of Members  Cultivating F &amp; V</t>
  </si>
  <si>
    <t>Total No.of Non-members  Cultivating F &amp; V</t>
  </si>
  <si>
    <t>Average Land Holding per member(Acres)</t>
  </si>
  <si>
    <t>Total Cultivated Land Under F &amp; V (Acres)</t>
  </si>
  <si>
    <t>Total No.of Members Cultivating Grain Crops</t>
  </si>
  <si>
    <t>Total No.of Non- members Cultivating Grain Crops</t>
  </si>
  <si>
    <t>Average Land Holding  per Member (Acres)</t>
  </si>
  <si>
    <t>Fruit  &amp; Vegetables Crop Production Details</t>
  </si>
  <si>
    <t>Area Under Vegetables in Rabbi Season ( In Acres)</t>
  </si>
  <si>
    <t>Area Under Vegetables in Summer Season ( In Acres)</t>
  </si>
  <si>
    <t>Area Under Fruit Crops ( In Acres)</t>
  </si>
  <si>
    <t>Total Cultivated Land under grain Crop(Acres)</t>
  </si>
  <si>
    <t>Faclitiy 5 - Agri Input Centre</t>
  </si>
  <si>
    <t>Faclitiy 3 - Warehouse</t>
  </si>
  <si>
    <t xml:space="preserve">Faclitiy 4 - Custom Hiring </t>
  </si>
  <si>
    <t>Cumuilative Profit</t>
  </si>
  <si>
    <t>Loan Repayment</t>
  </si>
  <si>
    <t>Preliminary &amp; Pre- operative Expenses</t>
  </si>
  <si>
    <t>Smart Grant -in-Aid</t>
  </si>
  <si>
    <t>Total F &amp; V Quantity to be Processed</t>
  </si>
  <si>
    <t>Total Grains Quantity to be Processed</t>
  </si>
  <si>
    <t xml:space="preserve">Job Work for Grains </t>
  </si>
  <si>
    <t>Quanity for trading of Grains</t>
  </si>
  <si>
    <t>No.of Working Days</t>
  </si>
  <si>
    <t xml:space="preserve">Horticulture Processing </t>
  </si>
  <si>
    <t>Pomegranate Juice</t>
  </si>
  <si>
    <t>Pomegranate Powder</t>
  </si>
  <si>
    <t>Pomegranate Arils</t>
  </si>
  <si>
    <t>Ltrs</t>
  </si>
  <si>
    <t>Quiantals</t>
  </si>
  <si>
    <t>Pomegranate Arils 1 Kg</t>
  </si>
  <si>
    <t>Pomegranate Juice 1 Ltrs</t>
  </si>
  <si>
    <t>Pomegranate Peel Powder1 Kg</t>
  </si>
  <si>
    <t>Pomegatnte</t>
  </si>
  <si>
    <t>Other Consumbales</t>
  </si>
  <si>
    <t>Facility 6 - Processing Unit - Horti Commodity</t>
  </si>
  <si>
    <t>Processing Unit - Horti Commodity</t>
  </si>
  <si>
    <t>Grain Processing - Dal Mill</t>
  </si>
  <si>
    <t>F &amp; V Processing - Pomegrantes</t>
  </si>
  <si>
    <t>Cost Of Production/Quintals</t>
  </si>
  <si>
    <t>F &amp; V Processing Machainary</t>
  </si>
  <si>
    <t>Assumption:</t>
  </si>
  <si>
    <t>Rate of Interest assumed as 12%</t>
  </si>
  <si>
    <t>Moratorium Period 6 Months</t>
  </si>
  <si>
    <t>Closing stock of each facility is 5%</t>
  </si>
  <si>
    <t>Asumption:</t>
  </si>
  <si>
    <t>Company has to give credit for sale at 14 Days</t>
  </si>
  <si>
    <t>Company will receive credit from suppliers for 7 days</t>
  </si>
  <si>
    <t>25 % of Working Capital will be financed by the company and balance 75% from bank finance at 12% rate of interest</t>
  </si>
  <si>
    <t>Sensitivity analysis is a financial model that determines how target variables are affected based on changes in Quantity or cost variance known as input variables.Here it is assume 5% (+,-) while calculating sensitivity analysis</t>
  </si>
  <si>
    <t>Assumptions:</t>
  </si>
  <si>
    <t>35% of total produce of the cluster will be trade in first year and it will increase everyear year by 5 %</t>
  </si>
  <si>
    <t>5% of total produce of the cluster will be Process in first year and it will increase everyear year by 5 %</t>
  </si>
  <si>
    <t xml:space="preserve">65% of total land of members is considered for Agri input service centre business </t>
  </si>
  <si>
    <t>Revenue and cost is related to this facility only</t>
  </si>
  <si>
    <t>Common expenditure such as admin, depreciation and amortization not considered.</t>
  </si>
  <si>
    <t xml:space="preserve">Grain Processing </t>
  </si>
  <si>
    <t>Area under crop (In Acres)</t>
  </si>
  <si>
    <t>1.1 Total Project Cost</t>
  </si>
  <si>
    <t>1.2 Means of Finance</t>
  </si>
  <si>
    <t>1.3 Financial Indicators</t>
  </si>
  <si>
    <t>3.1 Schedule of General Admin Expenses</t>
  </si>
  <si>
    <t>3.2 Depreciation</t>
  </si>
  <si>
    <t>3.3 Amortization Schedule</t>
  </si>
  <si>
    <t>3.4 Tax Schedule</t>
  </si>
  <si>
    <t xml:space="preserve">4.1 Repayment Schedule </t>
  </si>
  <si>
    <t>5.1 Closing and Opening Stock Calculation</t>
  </si>
  <si>
    <t>5.2 Working Capital Calculation</t>
  </si>
  <si>
    <t>6.1 Consolidated Profit and loss account for the Project</t>
  </si>
  <si>
    <t>7.1 Balancesheet  for the Project</t>
  </si>
  <si>
    <t>8.1 Cash Flow Statement for the Project</t>
  </si>
  <si>
    <t>9.1 Internal Rate of Return</t>
  </si>
  <si>
    <t>9.2 Break even Point</t>
  </si>
  <si>
    <t>9.3 Net Presnt Value</t>
  </si>
  <si>
    <t>9.4 Return On Investments</t>
  </si>
  <si>
    <t>9.5 Payback Period (In years) - Project</t>
  </si>
  <si>
    <t>9.6 Debt Service Covergae Ratio (DSCR)</t>
  </si>
  <si>
    <t>9.7 Sensitivity Analysis</t>
  </si>
  <si>
    <t>10.1 Details of members and non- members</t>
  </si>
  <si>
    <t xml:space="preserve">10.2 Statement Showing Area,production,productivity and marketable Surplus of Crops </t>
  </si>
  <si>
    <t>10.3 Quantity of Marketable Surplus Produce Considered for Trading Business</t>
  </si>
  <si>
    <t>10.4 Quantity of Marketable Surplus Produce Considered for Processing Business</t>
  </si>
  <si>
    <t>10.5 Crop-wise Area Considered for Agri Input Service Centre</t>
  </si>
  <si>
    <t>11.1 Details of members and non- members</t>
  </si>
  <si>
    <t xml:space="preserve">11.2 Statement Showing Area,production,productivity and marketable Surplus of Crops </t>
  </si>
  <si>
    <t>11.3 Quantity of Marketable Surplus Produce Considered for Trading Business</t>
  </si>
  <si>
    <t>11.4 Quantity of Marketable Surplus Produce Considered for Processing Business</t>
  </si>
  <si>
    <t>11.5 Crop-wise Area Considered for Agri Input Service Centre</t>
  </si>
  <si>
    <t>Facility 3 - Trading Unit</t>
  </si>
  <si>
    <t>12.1 Producers/ Capacity Utilization</t>
  </si>
  <si>
    <t>12.2 Facility 1 - Profit and loss of Trading</t>
  </si>
  <si>
    <t>13.1 Producers/ Capacity Utilization</t>
  </si>
  <si>
    <t>Facility 3 - Warehouse</t>
  </si>
  <si>
    <t>14.1 Capacity Utilization</t>
  </si>
  <si>
    <t>14.2 Facility 3 - Profit and loss of Warehouse</t>
  </si>
  <si>
    <t>Facility 4 - Custom Hiring</t>
  </si>
  <si>
    <t>15.1 Capacity Utlization</t>
  </si>
  <si>
    <t>15.2 Facility 4 - Profit and loss of Custom Hiring</t>
  </si>
  <si>
    <t>Facility 5 - Agri Input</t>
  </si>
  <si>
    <t>Facility 5 - Profit and loss of Agri Input</t>
  </si>
  <si>
    <t xml:space="preserve">Facility 6 - F &amp; V Processing Unit </t>
  </si>
  <si>
    <t>17.1 Producer/Capacity Utlization</t>
  </si>
  <si>
    <t>17.2 Activity 6 - Profit and loss of F &amp; V Processing Unit</t>
  </si>
  <si>
    <t>30% of total produce of the cluster will be trade in first year and it will increase everyear year by 5 %</t>
  </si>
  <si>
    <t>10% of total produce of the cluster will be Process in first year and it will increase everyear year by 5 %</t>
  </si>
  <si>
    <t>Inflation is assumed to be 5% anually.</t>
  </si>
  <si>
    <t>Other Current Assets</t>
  </si>
  <si>
    <t>Grains Crops and  Production Details</t>
  </si>
  <si>
    <t>Financial ratio</t>
  </si>
  <si>
    <t>Estimated</t>
  </si>
  <si>
    <t>Result</t>
  </si>
  <si>
    <t>Permissible limit</t>
  </si>
  <si>
    <t xml:space="preserve">BEP shall be less than 60% </t>
  </si>
  <si>
    <t xml:space="preserve">RoCE  for the project shall be more than 20% </t>
  </si>
  <si>
    <t xml:space="preserve">The project internal rate of return shall be more than 12% </t>
  </si>
  <si>
    <t xml:space="preserve">With a discount rate of 10% and a span of 7 operational years, the NPV should be positive </t>
  </si>
  <si>
    <t xml:space="preserve">The Pack Back Period (Project/ Equity) shall be less than 7 years </t>
  </si>
  <si>
    <t>DSCR shall be more than 2 for better performing project.</t>
  </si>
  <si>
    <t>Steps</t>
  </si>
  <si>
    <t>Remark</t>
  </si>
  <si>
    <t xml:space="preserve">1.0 About the calculator </t>
  </si>
  <si>
    <t xml:space="preserve">2.0 Features </t>
  </si>
  <si>
    <t>Colour code</t>
  </si>
  <si>
    <t xml:space="preserve">CAPEX Details </t>
  </si>
  <si>
    <t>Other expenditure and taxes</t>
  </si>
  <si>
    <t xml:space="preserve">Closing stock and working capital </t>
  </si>
  <si>
    <t>Sheet No</t>
  </si>
  <si>
    <t>Profit and Loss Statement</t>
  </si>
  <si>
    <t>Cash Flow Statement</t>
  </si>
  <si>
    <t>Balance Sheet</t>
  </si>
  <si>
    <t xml:space="preserve">Facility-1 / Business activity -Trading </t>
  </si>
  <si>
    <t>Facility-3 Business activity -Warehouse</t>
  </si>
  <si>
    <t xml:space="preserve">Facility-4 Business activity -Custom hiring </t>
  </si>
  <si>
    <t>Facility-5 Business activity - Agri. Input</t>
  </si>
  <si>
    <t xml:space="preserve">Facility-2 / Business activity - Processing (Grain, pulses, oilseed) </t>
  </si>
  <si>
    <t>Facility-6 Business activity -Processing  (Horti. Produce)</t>
  </si>
  <si>
    <t>Step-1</t>
  </si>
  <si>
    <t>Step-2</t>
  </si>
  <si>
    <t>Step-3</t>
  </si>
  <si>
    <t>Step-4</t>
  </si>
  <si>
    <t>Step-5</t>
  </si>
  <si>
    <t>Step-6</t>
  </si>
  <si>
    <t>Step-7</t>
  </si>
  <si>
    <t>Grain production details &amp; or F &amp; V production details  (Marketable surplus)</t>
  </si>
  <si>
    <t>Financial indicators  (IRR, BEP,NPV, ROI, Pay back period, DSCR, sensitivity analysis )</t>
  </si>
  <si>
    <t>Transport vehical  (Refer van and other)</t>
  </si>
  <si>
    <t xml:space="preserve">4.0 Colour codes used </t>
  </si>
  <si>
    <t xml:space="preserve">5.0 Guidance  note for using calculator </t>
  </si>
  <si>
    <t xml:space="preserve">Generate automatically </t>
  </si>
  <si>
    <t xml:space="preserve">Draft Business Plan Financial Calculator </t>
  </si>
  <si>
    <t>Project cost and Means of finance with financial indicators</t>
  </si>
  <si>
    <t>Consumption in (%)</t>
  </si>
  <si>
    <t>Bank Loan (% )</t>
  </si>
  <si>
    <t>Note for users</t>
  </si>
  <si>
    <r>
      <t xml:space="preserve">The business plan financial calculator will be the tool to generate the financial projection of the business plan based on the certain data inputs. </t>
    </r>
    <r>
      <rPr>
        <b/>
        <sz val="11"/>
        <color theme="1"/>
        <rFont val="Calibri"/>
        <family val="2"/>
        <scheme val="minor"/>
      </rPr>
      <t xml:space="preserve">It will be the tool which can be easily used by any professional who understand the basic accounting. The business plan financial calculator will generate following statements automatically based on certain data inputs:
</t>
    </r>
    <r>
      <rPr>
        <sz val="11"/>
        <color theme="1"/>
        <rFont val="Calibri"/>
        <family val="2"/>
        <scheme val="minor"/>
      </rPr>
      <t>1. Profit and Loss Statement
2. Cash Flow Statement
3. Balance Sheet
4</t>
    </r>
    <r>
      <rPr>
        <sz val="11"/>
        <color rgb="FFC00000"/>
        <rFont val="Calibri"/>
        <family val="2"/>
        <scheme val="minor"/>
      </rPr>
      <t xml:space="preserve">. </t>
    </r>
    <r>
      <rPr>
        <sz val="11"/>
        <rFont val="Calibri"/>
        <family val="2"/>
        <scheme val="minor"/>
      </rPr>
      <t xml:space="preserve">Depreciation, amortization and tax calculation </t>
    </r>
    <r>
      <rPr>
        <sz val="11"/>
        <color theme="1"/>
        <rFont val="Calibri"/>
        <family val="2"/>
        <scheme val="minor"/>
      </rPr>
      <t xml:space="preserve">
It will also auto calculate the following financial ratios to understand the viability of the business plan / Full Project Proposal:
1. Break Even Point
2. Internal Rate of Return
3. Net Present Value
4. Return on Capital Employed
5. Project Payback Period
6. DSCR
7.Sensitivity analysis </t>
    </r>
    <r>
      <rPr>
        <b/>
        <sz val="11"/>
        <color theme="1"/>
        <rFont val="Calibri"/>
        <family val="2"/>
        <scheme val="minor"/>
      </rPr>
      <t xml:space="preserve">
The above ratios will help  decision makers for approving the business plan / Full Project Report.</t>
    </r>
  </si>
  <si>
    <t xml:space="preserve">3.0 Preparatory work </t>
  </si>
  <si>
    <t xml:space="preserve">Sheet name </t>
  </si>
  <si>
    <t xml:space="preserve"> Sheet in which need to enter data</t>
  </si>
  <si>
    <t>Sheet No. 10 for grain and 11 for F &amp; V</t>
  </si>
  <si>
    <t>Sheet No. 2</t>
  </si>
  <si>
    <t>Please add bank loan per cent if applicable other wise put zero</t>
  </si>
  <si>
    <t>Sheet No. 1</t>
  </si>
  <si>
    <t xml:space="preserve">Please fill necessary details in yellow cells  for calculating revenue and expenditure of identified business activities only. </t>
  </si>
  <si>
    <t>Sheet No. 12</t>
  </si>
  <si>
    <t>Sheet No. 13</t>
  </si>
  <si>
    <t>Sheet No. 14</t>
  </si>
  <si>
    <t>Sheet No. 15</t>
  </si>
  <si>
    <t>Sheet No. 16</t>
  </si>
  <si>
    <t>Sheet No. 17</t>
  </si>
  <si>
    <t>Please add staff salary and other details in Yellow cell (in 3.1 table only)</t>
  </si>
  <si>
    <t xml:space="preserve">TL repayment schedule </t>
  </si>
  <si>
    <t>Please add interest rate, tenure and Moratorium Period ( In Month) in green cells</t>
  </si>
  <si>
    <t>Sheet No. 4</t>
  </si>
  <si>
    <t>Please add necessary details in yellow and green cells</t>
  </si>
  <si>
    <t>Sheet No. 5</t>
  </si>
  <si>
    <t xml:space="preserve">Auto generating sheets  (No need to enter any data) </t>
  </si>
  <si>
    <t>B1</t>
  </si>
  <si>
    <t>Sheet No. 6</t>
  </si>
  <si>
    <t>B2</t>
  </si>
  <si>
    <t>Sheet No. 7</t>
  </si>
  <si>
    <t>B3</t>
  </si>
  <si>
    <t>Sheet No. 8</t>
  </si>
  <si>
    <t>B4</t>
  </si>
  <si>
    <t>Sheet No.9</t>
  </si>
  <si>
    <t>B5</t>
  </si>
  <si>
    <t xml:space="preserve">Depreciation, amortization and tax calculation </t>
  </si>
  <si>
    <t>Step-8</t>
  </si>
  <si>
    <t xml:space="preserve">Copy relevant tables in word file of FPP </t>
  </si>
  <si>
    <t xml:space="preserve">Please fill data in yellow colour cells i.e. members no, non-members , average area etc. </t>
  </si>
  <si>
    <t xml:space="preserve">Kindly fill yellow cells by using rates mentioned in estimates of civil structures and quotation's of machineries and equipment's </t>
  </si>
  <si>
    <t xml:space="preserve">Business activity wise revenue, expenditure  and profit calculation </t>
  </si>
  <si>
    <t xml:space="preserve">1.0 Please collect basic data of targeted commodities in the cluster accurately (area, productivity and consumption at HH level ) 
2.0 Finalize Business activity in consultation with CBO members  and officials / experts.
3.0 Accordingly, please add  CAPEX details i.e. related to building, machinery and other infrastructure properly. 
4.0 In CAPEX SHEET, please refer area and rates mentioned in estimates of civil structures prepared by engineer whereas quotation's in case of  machinery and other equipment or material. 
5.0 Please write down assumptions clearly for each business activity  (example- produce  aggregation and bulk marketing  in  the form of % in Y-1, Y-2.......... ) 
</t>
  </si>
  <si>
    <r>
      <t>1.0 It helps in preparing financial projections for both type of sub-projects.i.e. Grain and Frutis &amp; Vegetables.  
2.0 It can be easily used by any person / professional who understand the basic accounting.
3.0 Assist planners to map marketable surplus of key commodities quickly.
3.0 This tool will generate P  &amp; L , Cash flow statement and balance sheet automatically.
4.0 The calculator helps to prepare all  categories of business plans envisaged in SMART Project viz. PPs, MAPs, CIIs, Warehousing related)
5.0 It will also calculate all ratios automatically</t>
    </r>
    <r>
      <rPr>
        <sz val="11"/>
        <color rgb="FFC00000"/>
        <rFont val="Calibri"/>
        <family val="2"/>
        <scheme val="minor"/>
      </rPr>
      <t xml:space="preserve">. </t>
    </r>
  </si>
  <si>
    <t>Sheet No. 3 (Ref. 3.2 &amp; 3.3)</t>
  </si>
  <si>
    <t>Sheet no.3 (Ref. 3.1 table only)</t>
  </si>
  <si>
    <t>1800MT</t>
  </si>
  <si>
    <t>50 MT Fully Electronic Weighbridge</t>
  </si>
  <si>
    <t>50 MT</t>
  </si>
  <si>
    <t>Clerk</t>
  </si>
  <si>
    <t>Cleaning &amp; Grading Fully Automatic Plant</t>
  </si>
  <si>
    <t>Facility 2 - Grain Processing Unit - Cleaning Grading Unit</t>
  </si>
  <si>
    <t>Faclitiy 2 - Processing Unit- Cleaning Grading</t>
  </si>
  <si>
    <t>Faclitiy 1 - Trading</t>
  </si>
  <si>
    <t>Godown</t>
  </si>
  <si>
    <t>2TPH</t>
  </si>
  <si>
    <t>CA/CS - Audit, DPR Technical Consultancy, ConsultantAnnual Compliance, Govt. Fees, Stamp Duty, Registration, Training etc.</t>
  </si>
  <si>
    <t>13.2 Facility 2 - Profit and loss of Grain Processing Unit - Cleaning Grading Unit</t>
  </si>
  <si>
    <t>Cleaned &amp; Graded</t>
  </si>
  <si>
    <t>Cleaned &amp; Graded Grains</t>
  </si>
  <si>
    <t xml:space="preserve">Cleaned &amp; Graded </t>
  </si>
  <si>
    <t>100 Kg</t>
  </si>
  <si>
    <t>Shed for Processing Unit for Cleaning Grading
(3500 Sq. ft. X 1600 Rs.)</t>
  </si>
  <si>
    <t>16 KVA Single Phase 3 Nos HT line with RSJ Poles</t>
  </si>
  <si>
    <t>2500 sq. ft.</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</si>
</sst>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3" formatCode="_(* #,##0.00_);_(* \(#,##0.00\);_(* &quot;-&quot;??_);_(@_)"/>
    <numFmt numFmtId="164" formatCode="&quot;Rs.&quot;\ #,##0.00;[Red]&quot;Rs.&quot;\ \-#,##0.00"/>
    <numFmt numFmtId="165" formatCode="_ * #,##0.00_ ;_ * \-#,##0.00_ ;_ * &quot;-&quot;??_ ;_ @_ "/>
    <numFmt numFmtId="166" formatCode="_-* #,##0.00_-;\-* #,##0.00_-;_-* &quot;-&quot;??_-;_-@_-"/>
    <numFmt numFmtId="167" formatCode="_-* #,##0_-;\-* #,##0_-;_-* &quot;-&quot;??_-;_-@_-"/>
    <numFmt numFmtId="168" formatCode="_-&quot;Rs.&quot;* #,##0.00_-;\-&quot;Rs.&quot;* #,##0.00_-;_-&quot;Rs.&quot;* &quot;-&quot;??_-;_-@_-"/>
    <numFmt numFmtId="169" formatCode="_(* #,##0_);_(* \(#,##0\);_(* &quot;-&quot;??_);_(@_)"/>
    <numFmt numFmtId="170" formatCode="0.0%"/>
    <numFmt numFmtId="171" formatCode="_ * #,##0_ ;_ * \-#,##0_ ;_ * &quot;-&quot;??_ ;_ @_ "/>
    <numFmt numFmtId="172" formatCode="_-&quot;£&quot;* #,##0.00_-;\-&quot;£&quot;* #,##0.00_-;_-&quot;£&quot;* &quot;-&quot;??_-;_-@_-"/>
    <numFmt numFmtId="173" formatCode="#,##0_ ;[Red]\-#,##0\ "/>
    <numFmt numFmtId="174" formatCode="#,##0.00_ ;[Red]\-#,##0.00\ "/>
    <numFmt numFmtId="175" formatCode="_(* #,##0.0000_);_(* \(#,##0.0000\);_(* &quot;-&quot;??_);_(@_)"/>
    <numFmt numFmtId="176" formatCode="_ * #,##0.0_ ;_ * \-#,##0.0_ ;_ * &quot;-&quot;??_ ;_ @_ "/>
    <numFmt numFmtId="177" formatCode="0.0"/>
  </numFmts>
  <fonts count="66">
    <font>
      <sz val="11"/>
      <color theme="1"/>
      <name val="Calibri"/>
      <family val="2"/>
      <scheme val="minor"/>
    </font>
    <font>
      <sz val="11"/>
      <color theme="1"/>
      <name val="Calibri"/>
      <family val="2"/>
      <scheme val="minor"/>
    </font>
    <font>
      <b/>
      <sz val="11"/>
      <color theme="1"/>
      <name val="Calibri"/>
      <family val="2"/>
      <scheme val="minor"/>
    </font>
    <font>
      <sz val="13"/>
      <color indexed="8"/>
      <name val="Times New Roman"/>
      <family val="1"/>
    </font>
    <font>
      <sz val="11"/>
      <color indexed="8"/>
      <name val="Times New Roman"/>
      <family val="1"/>
    </font>
    <font>
      <sz val="12"/>
      <name val="Times New Roman"/>
      <family val="1"/>
    </font>
    <font>
      <b/>
      <sz val="11"/>
      <color indexed="8"/>
      <name val="Times New Roman"/>
      <family val="1"/>
    </font>
    <font>
      <sz val="13"/>
      <name val="Times New Roman"/>
      <family val="1"/>
    </font>
    <font>
      <sz val="10"/>
      <name val="Arial"/>
      <family val="2"/>
    </font>
    <font>
      <b/>
      <sz val="16"/>
      <color theme="1"/>
      <name val="Calibri"/>
      <family val="2"/>
      <scheme val="minor"/>
    </font>
    <font>
      <sz val="12"/>
      <color indexed="8"/>
      <name val="Times New Roman"/>
      <family val="1"/>
    </font>
    <font>
      <b/>
      <sz val="11"/>
      <color rgb="FFFFFFFF"/>
      <name val="Garamond"/>
      <family val="1"/>
    </font>
    <font>
      <sz val="11"/>
      <color rgb="FF000000"/>
      <name val="Garamond"/>
      <family val="1"/>
    </font>
    <font>
      <b/>
      <sz val="11"/>
      <color rgb="FF000000"/>
      <name val="Garamond"/>
      <family val="1"/>
    </font>
    <font>
      <b/>
      <sz val="11"/>
      <name val="Calibri"/>
      <family val="2"/>
    </font>
    <font>
      <b/>
      <sz val="11"/>
      <name val="Calibri"/>
      <family val="2"/>
      <scheme val="minor"/>
    </font>
    <font>
      <u/>
      <sz val="10"/>
      <color indexed="12"/>
      <name val="Arial"/>
      <family val="2"/>
    </font>
    <font>
      <sz val="11"/>
      <name val="Calibri"/>
      <family val="2"/>
    </font>
    <font>
      <sz val="11"/>
      <color indexed="8"/>
      <name val="Calibri"/>
      <family val="2"/>
    </font>
    <font>
      <b/>
      <u/>
      <sz val="11"/>
      <color indexed="12"/>
      <name val="Calibri"/>
      <family val="2"/>
    </font>
    <font>
      <i/>
      <sz val="11"/>
      <color indexed="10"/>
      <name val="Calibri"/>
      <family val="2"/>
    </font>
    <font>
      <b/>
      <sz val="11"/>
      <color theme="0"/>
      <name val="Times New Roman"/>
      <family val="1"/>
    </font>
    <font>
      <sz val="12"/>
      <color theme="0"/>
      <name val="Times New Roman"/>
      <family val="1"/>
    </font>
    <font>
      <b/>
      <sz val="12"/>
      <color theme="0"/>
      <name val="Times New Roman"/>
      <family val="1"/>
    </font>
    <font>
      <sz val="11"/>
      <color theme="0"/>
      <name val="Times New Roman"/>
      <family val="1"/>
    </font>
    <font>
      <b/>
      <sz val="14"/>
      <color indexed="8"/>
      <name val="Times New Roman"/>
      <family val="1"/>
    </font>
    <font>
      <b/>
      <sz val="14"/>
      <color theme="1"/>
      <name val="Times New Roman"/>
      <family val="1"/>
    </font>
    <font>
      <sz val="11"/>
      <color theme="1"/>
      <name val="Times New Roman"/>
      <family val="1"/>
    </font>
    <font>
      <b/>
      <sz val="11"/>
      <color theme="1"/>
      <name val="Times New Roman"/>
      <family val="1"/>
    </font>
    <font>
      <sz val="11"/>
      <name val="Times New Roman"/>
      <family val="1"/>
    </font>
    <font>
      <b/>
      <sz val="11"/>
      <name val="Times New Roman"/>
      <family val="1"/>
    </font>
    <font>
      <b/>
      <sz val="11"/>
      <color indexed="56"/>
      <name val="Times New Roman"/>
      <family val="1"/>
    </font>
    <font>
      <b/>
      <u/>
      <sz val="11"/>
      <name val="Times New Roman"/>
      <family val="1"/>
    </font>
    <font>
      <sz val="11"/>
      <color indexed="17"/>
      <name val="Times New Roman"/>
      <family val="1"/>
    </font>
    <font>
      <b/>
      <u/>
      <sz val="11"/>
      <color indexed="60"/>
      <name val="Times New Roman"/>
      <family val="1"/>
    </font>
    <font>
      <sz val="11"/>
      <color indexed="60"/>
      <name val="Times New Roman"/>
      <family val="1"/>
    </font>
    <font>
      <b/>
      <sz val="11"/>
      <color indexed="60"/>
      <name val="Times New Roman"/>
      <family val="1"/>
    </font>
    <font>
      <b/>
      <sz val="14"/>
      <name val="Times New Roman"/>
      <family val="1"/>
    </font>
    <font>
      <b/>
      <u/>
      <sz val="11"/>
      <color indexed="8"/>
      <name val="Times New Roman"/>
      <family val="1"/>
    </font>
    <font>
      <b/>
      <i/>
      <sz val="11"/>
      <color indexed="8"/>
      <name val="Times New Roman"/>
      <family val="1"/>
    </font>
    <font>
      <b/>
      <sz val="11"/>
      <color rgb="FFFFFFFF"/>
      <name val="Times New Roman"/>
      <family val="1"/>
    </font>
    <font>
      <sz val="11"/>
      <color rgb="FF000000"/>
      <name val="Times New Roman"/>
      <family val="1"/>
    </font>
    <font>
      <b/>
      <sz val="11"/>
      <color rgb="FF000000"/>
      <name val="Times New Roman"/>
      <family val="1"/>
    </font>
    <font>
      <b/>
      <sz val="10"/>
      <color rgb="FFFFFFFF"/>
      <name val="Times New Roman"/>
      <family val="1"/>
    </font>
    <font>
      <sz val="10"/>
      <color rgb="FF000000"/>
      <name val="Times New Roman"/>
      <family val="1"/>
    </font>
    <font>
      <sz val="10"/>
      <color rgb="FF424142"/>
      <name val="Georgia"/>
      <family val="1"/>
    </font>
    <font>
      <b/>
      <sz val="11"/>
      <color rgb="FF272727"/>
      <name val="Garamond"/>
      <family val="1"/>
    </font>
    <font>
      <sz val="9"/>
      <name val="Arial"/>
      <family val="2"/>
    </font>
    <font>
      <b/>
      <sz val="9"/>
      <name val="Arial"/>
      <family val="2"/>
    </font>
    <font>
      <b/>
      <sz val="8"/>
      <name val="Inherit"/>
    </font>
    <font>
      <b/>
      <sz val="8"/>
      <color rgb="FF202124"/>
      <name val="Arial"/>
      <family val="2"/>
    </font>
    <font>
      <b/>
      <sz val="11"/>
      <color rgb="FF202124"/>
      <name val="Garamond"/>
      <family val="1"/>
    </font>
    <font>
      <b/>
      <sz val="11"/>
      <color theme="0"/>
      <name val="Calibri"/>
      <family val="2"/>
      <scheme val="minor"/>
    </font>
    <font>
      <b/>
      <sz val="11"/>
      <color rgb="FF202122"/>
      <name val="Garamond"/>
      <family val="1"/>
    </font>
    <font>
      <b/>
      <sz val="11"/>
      <name val="Garamond"/>
      <family val="1"/>
    </font>
    <font>
      <b/>
      <sz val="11"/>
      <color rgb="FF111111"/>
      <name val="Garamond"/>
      <family val="1"/>
    </font>
    <font>
      <sz val="11"/>
      <color theme="0"/>
      <name val="Calibri"/>
      <family val="2"/>
      <scheme val="minor"/>
    </font>
    <font>
      <b/>
      <sz val="10"/>
      <color rgb="FF000000"/>
      <name val="Times New Roman"/>
      <family val="1"/>
    </font>
    <font>
      <sz val="10"/>
      <color theme="1"/>
      <name val="Calibri"/>
      <family val="2"/>
      <scheme val="minor"/>
    </font>
    <font>
      <b/>
      <sz val="18"/>
      <color theme="1"/>
      <name val="Calibri"/>
      <family val="2"/>
      <scheme val="minor"/>
    </font>
    <font>
      <sz val="12"/>
      <color rgb="FFFF0000"/>
      <name val="Times New Roman"/>
      <family val="1"/>
    </font>
    <font>
      <b/>
      <u/>
      <sz val="18"/>
      <color theme="1"/>
      <name val="Calibri"/>
      <family val="2"/>
      <scheme val="minor"/>
    </font>
    <font>
      <sz val="11"/>
      <color rgb="FFC00000"/>
      <name val="Calibri"/>
      <family val="2"/>
      <scheme val="minor"/>
    </font>
    <font>
      <sz val="11"/>
      <name val="Calibri"/>
      <family val="2"/>
      <scheme val="minor"/>
    </font>
    <font>
      <b/>
      <sz val="11"/>
      <color rgb="FFC00000"/>
      <name val="Calibri"/>
      <family val="2"/>
      <scheme val="minor"/>
    </font>
    <font>
      <b/>
      <sz val="24"/>
      <color theme="1"/>
      <name val="Calibri"/>
      <family val="2"/>
      <scheme val="minor"/>
    </font>
  </fonts>
  <fills count="12">
    <fill>
      <patternFill patternType="none"/>
    </fill>
    <fill>
      <patternFill patternType="gray125"/>
    </fill>
    <fill>
      <patternFill patternType="solid">
        <fgColor theme="2" tint="-0.749992370372631"/>
        <bgColor indexed="64"/>
      </patternFill>
    </fill>
    <fill>
      <patternFill patternType="solid">
        <fgColor indexed="15"/>
        <bgColor indexed="64"/>
      </patternFill>
    </fill>
    <fill>
      <patternFill patternType="solid">
        <fgColor theme="0"/>
        <bgColor indexed="64"/>
      </patternFill>
    </fill>
    <fill>
      <patternFill patternType="solid">
        <fgColor rgb="FF333300"/>
        <bgColor indexed="64"/>
      </patternFill>
    </fill>
    <fill>
      <patternFill patternType="solid">
        <fgColor rgb="FFFFFF00"/>
        <bgColor indexed="64"/>
      </patternFill>
    </fill>
    <fill>
      <patternFill patternType="solid">
        <fgColor rgb="FF92D050"/>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s>
  <cellStyleXfs count="11">
    <xf numFmtId="0" fontId="0" fillId="0" borderId="0"/>
    <xf numFmtId="9"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8" fillId="0" borderId="0" applyFont="0" applyFill="0" applyBorder="0" applyAlignment="0" applyProtection="0"/>
    <xf numFmtId="168" fontId="8" fillId="0" borderId="0" applyFont="0" applyFill="0" applyBorder="0" applyAlignment="0" applyProtection="0"/>
    <xf numFmtId="0" fontId="8" fillId="0" borderId="0"/>
    <xf numFmtId="9" fontId="8" fillId="0" borderId="0" applyFont="0" applyFill="0" applyBorder="0" applyAlignment="0" applyProtection="0"/>
    <xf numFmtId="0" fontId="16" fillId="0" borderId="0" applyNumberFormat="0" applyFill="0" applyBorder="0" applyAlignment="0" applyProtection="0">
      <alignment vertical="top"/>
      <protection locked="0"/>
    </xf>
    <xf numFmtId="172" fontId="1" fillId="0" borderId="0" applyFont="0" applyFill="0" applyBorder="0" applyAlignment="0" applyProtection="0"/>
    <xf numFmtId="165" fontId="18" fillId="0" borderId="0" applyFont="0" applyFill="0" applyBorder="0" applyAlignment="0" applyProtection="0"/>
  </cellStyleXfs>
  <cellXfs count="484">
    <xf numFmtId="0" fontId="0" fillId="0" borderId="0" xfId="0"/>
    <xf numFmtId="2" fontId="0" fillId="0" borderId="0" xfId="0" applyNumberFormat="1"/>
    <xf numFmtId="0" fontId="2" fillId="0" borderId="1" xfId="0" applyFont="1" applyBorder="1"/>
    <xf numFmtId="9" fontId="0" fillId="0" borderId="0" xfId="1" applyFont="1"/>
    <xf numFmtId="9" fontId="0" fillId="0" borderId="0" xfId="0" applyNumberFormat="1"/>
    <xf numFmtId="0" fontId="2" fillId="0" borderId="0" xfId="0" applyFont="1"/>
    <xf numFmtId="10" fontId="0" fillId="0" borderId="0" xfId="0" applyNumberFormat="1"/>
    <xf numFmtId="0" fontId="0" fillId="0" borderId="0" xfId="0" applyFont="1"/>
    <xf numFmtId="0" fontId="3" fillId="0" borderId="0" xfId="0" applyFont="1"/>
    <xf numFmtId="0" fontId="4" fillId="0" borderId="0" xfId="0" applyFont="1" applyBorder="1"/>
    <xf numFmtId="0" fontId="0" fillId="0" borderId="1" xfId="0" applyBorder="1"/>
    <xf numFmtId="0" fontId="7" fillId="0" borderId="1" xfId="0" applyFont="1" applyBorder="1"/>
    <xf numFmtId="0" fontId="7" fillId="0" borderId="0" xfId="0" applyFont="1"/>
    <xf numFmtId="0" fontId="0" fillId="0" borderId="0" xfId="0" applyFill="1"/>
    <xf numFmtId="0" fontId="2" fillId="0" borderId="0" xfId="0" applyFont="1" applyAlignment="1">
      <alignment horizontal="center"/>
    </xf>
    <xf numFmtId="0" fontId="0" fillId="0" borderId="0" xfId="0" applyBorder="1" applyAlignment="1">
      <alignment horizontal="center"/>
    </xf>
    <xf numFmtId="0" fontId="2" fillId="0" borderId="0" xfId="0" applyFont="1" applyBorder="1" applyAlignment="1">
      <alignment horizontal="center"/>
    </xf>
    <xf numFmtId="4" fontId="0" fillId="0" borderId="0" xfId="0" applyNumberFormat="1"/>
    <xf numFmtId="166" fontId="0" fillId="0" borderId="0" xfId="0" applyNumberFormat="1"/>
    <xf numFmtId="0" fontId="0" fillId="0" borderId="0" xfId="0" applyAlignment="1">
      <alignment horizontal="center"/>
    </xf>
    <xf numFmtId="166" fontId="0" fillId="0" borderId="0" xfId="3" applyFont="1"/>
    <xf numFmtId="167" fontId="13" fillId="0" borderId="1" xfId="3" applyNumberFormat="1" applyFont="1" applyBorder="1" applyAlignment="1">
      <alignment horizontal="right" vertical="center" wrapText="1"/>
    </xf>
    <xf numFmtId="167" fontId="0" fillId="0" borderId="0" xfId="0" applyNumberFormat="1"/>
    <xf numFmtId="0" fontId="11" fillId="2" borderId="1" xfId="0" applyFont="1" applyFill="1" applyBorder="1" applyAlignment="1">
      <alignment vertical="center" wrapText="1"/>
    </xf>
    <xf numFmtId="0" fontId="0" fillId="0" borderId="1" xfId="0" applyFont="1" applyFill="1" applyBorder="1"/>
    <xf numFmtId="0" fontId="0" fillId="0" borderId="1" xfId="0" applyFont="1" applyBorder="1"/>
    <xf numFmtId="169" fontId="0" fillId="0" borderId="1" xfId="2" applyNumberFormat="1" applyFont="1" applyBorder="1"/>
    <xf numFmtId="0" fontId="2" fillId="0" borderId="0" xfId="0" applyFont="1" applyFill="1"/>
    <xf numFmtId="0" fontId="14" fillId="0" borderId="0" xfId="0" applyFont="1" applyFill="1" applyBorder="1"/>
    <xf numFmtId="165" fontId="0" fillId="0" borderId="0" xfId="0" applyNumberFormat="1"/>
    <xf numFmtId="0" fontId="2" fillId="0" borderId="0" xfId="0" applyFont="1" applyAlignment="1">
      <alignment horizontal="center"/>
    </xf>
    <xf numFmtId="0" fontId="2" fillId="0" borderId="0" xfId="0" applyFont="1" applyAlignment="1">
      <alignment horizontal="center"/>
    </xf>
    <xf numFmtId="167" fontId="17" fillId="0" borderId="0" xfId="0" applyNumberFormat="1" applyFont="1" applyFill="1" applyBorder="1"/>
    <xf numFmtId="38" fontId="14" fillId="0" borderId="0" xfId="0" applyNumberFormat="1" applyFont="1" applyFill="1" applyBorder="1" applyAlignment="1">
      <alignment horizontal="left"/>
    </xf>
    <xf numFmtId="0" fontId="17" fillId="0" borderId="0" xfId="0" applyFont="1" applyFill="1" applyBorder="1"/>
    <xf numFmtId="0" fontId="19" fillId="0" borderId="0" xfId="8" applyFont="1" applyFill="1" applyBorder="1" applyAlignment="1" applyProtection="1"/>
    <xf numFmtId="0" fontId="18" fillId="0" borderId="11" xfId="0" applyFont="1" applyBorder="1"/>
    <xf numFmtId="174" fontId="14" fillId="0" borderId="0" xfId="9" applyNumberFormat="1" applyFont="1" applyFill="1" applyBorder="1" applyAlignment="1">
      <alignment vertical="center"/>
    </xf>
    <xf numFmtId="167" fontId="17" fillId="0" borderId="0" xfId="3" applyNumberFormat="1" applyFont="1" applyFill="1" applyBorder="1"/>
    <xf numFmtId="0" fontId="14" fillId="0" borderId="11" xfId="0" applyFont="1" applyBorder="1"/>
    <xf numFmtId="0" fontId="6" fillId="0" borderId="1" xfId="0" applyFont="1" applyFill="1" applyBorder="1" applyAlignment="1">
      <alignment wrapText="1"/>
    </xf>
    <xf numFmtId="169" fontId="4" fillId="0" borderId="1" xfId="3" applyNumberFormat="1" applyFont="1" applyFill="1" applyBorder="1" applyAlignment="1">
      <alignment wrapText="1"/>
    </xf>
    <xf numFmtId="0" fontId="4" fillId="0" borderId="1" xfId="0" applyFont="1" applyFill="1" applyBorder="1" applyAlignment="1">
      <alignment horizontal="left" wrapText="1"/>
    </xf>
    <xf numFmtId="169" fontId="6" fillId="0" borderId="1" xfId="3" applyNumberFormat="1" applyFont="1" applyFill="1" applyBorder="1" applyAlignment="1">
      <alignment wrapText="1"/>
    </xf>
    <xf numFmtId="0" fontId="4" fillId="0" borderId="1" xfId="0" applyFont="1" applyFill="1" applyBorder="1" applyAlignment="1">
      <alignment wrapText="1"/>
    </xf>
    <xf numFmtId="0" fontId="4" fillId="0" borderId="1" xfId="0" applyFont="1" applyFill="1" applyBorder="1" applyAlignment="1">
      <alignment horizontal="right" wrapText="1"/>
    </xf>
    <xf numFmtId="167" fontId="4" fillId="0" borderId="1" xfId="3" applyNumberFormat="1" applyFont="1" applyFill="1" applyBorder="1" applyAlignment="1">
      <alignment wrapText="1"/>
    </xf>
    <xf numFmtId="0" fontId="4" fillId="0" borderId="1" xfId="0" applyFont="1" applyFill="1" applyBorder="1" applyAlignment="1">
      <alignment vertical="center" wrapText="1"/>
    </xf>
    <xf numFmtId="0" fontId="6" fillId="0" borderId="1" xfId="0" applyFont="1" applyFill="1" applyBorder="1" applyAlignment="1">
      <alignment horizontal="right" wrapText="1"/>
    </xf>
    <xf numFmtId="169" fontId="4" fillId="4" borderId="1" xfId="3" applyNumberFormat="1" applyFont="1" applyFill="1" applyBorder="1" applyAlignment="1">
      <alignment wrapText="1"/>
    </xf>
    <xf numFmtId="169" fontId="6" fillId="0" borderId="1" xfId="0" applyNumberFormat="1" applyFont="1" applyFill="1" applyBorder="1" applyAlignment="1">
      <alignment wrapText="1"/>
    </xf>
    <xf numFmtId="169" fontId="4" fillId="0" borderId="1" xfId="0" applyNumberFormat="1" applyFont="1" applyFill="1" applyBorder="1" applyAlignment="1">
      <alignment wrapText="1"/>
    </xf>
    <xf numFmtId="0" fontId="6" fillId="0" borderId="1" xfId="0" applyFont="1" applyFill="1" applyBorder="1" applyAlignment="1">
      <alignment horizontal="left" wrapText="1"/>
    </xf>
    <xf numFmtId="0" fontId="17" fillId="0" borderId="0" xfId="0" applyFont="1" applyBorder="1" applyAlignment="1">
      <alignment vertical="center"/>
    </xf>
    <xf numFmtId="0" fontId="17" fillId="0" borderId="0" xfId="0" applyFont="1" applyFill="1" applyBorder="1" applyAlignment="1">
      <alignment vertical="center"/>
    </xf>
    <xf numFmtId="0" fontId="14" fillId="0" borderId="0" xfId="0" applyFont="1" applyBorder="1" applyAlignment="1">
      <alignment vertical="center"/>
    </xf>
    <xf numFmtId="4" fontId="17" fillId="0" borderId="0" xfId="0" applyNumberFormat="1" applyFont="1" applyBorder="1" applyAlignment="1">
      <alignment vertical="center"/>
    </xf>
    <xf numFmtId="0" fontId="11" fillId="2" borderId="1" xfId="0" applyFont="1" applyFill="1" applyBorder="1" applyAlignment="1">
      <alignment horizontal="center" vertical="center" wrapText="1"/>
    </xf>
    <xf numFmtId="0" fontId="21" fillId="2" borderId="1" xfId="0" applyFont="1" applyFill="1" applyBorder="1" applyAlignment="1">
      <alignment wrapText="1"/>
    </xf>
    <xf numFmtId="0" fontId="21" fillId="2" borderId="1" xfId="0" applyFont="1" applyFill="1" applyBorder="1" applyAlignment="1">
      <alignment horizontal="center" wrapText="1"/>
    </xf>
    <xf numFmtId="0" fontId="2" fillId="0" borderId="0" xfId="0" applyFont="1" applyAlignment="1">
      <alignment horizontal="center"/>
    </xf>
    <xf numFmtId="0" fontId="11" fillId="2" borderId="1" xfId="0" applyFont="1" applyFill="1" applyBorder="1" applyAlignment="1">
      <alignment horizontal="center" vertical="center" wrapText="1"/>
    </xf>
    <xf numFmtId="0" fontId="2" fillId="0" borderId="0" xfId="0" applyFont="1" applyAlignment="1">
      <alignment horizontal="center"/>
    </xf>
    <xf numFmtId="169" fontId="0" fillId="0" borderId="15" xfId="2" applyNumberFormat="1" applyFont="1" applyBorder="1"/>
    <xf numFmtId="2" fontId="2" fillId="0" borderId="0" xfId="0" applyNumberFormat="1" applyFont="1"/>
    <xf numFmtId="0" fontId="17" fillId="0" borderId="0" xfId="0" applyFont="1"/>
    <xf numFmtId="167" fontId="14" fillId="0" borderId="0" xfId="0" applyNumberFormat="1" applyFont="1"/>
    <xf numFmtId="169" fontId="0" fillId="0" borderId="0" xfId="0" applyNumberFormat="1"/>
    <xf numFmtId="3" fontId="17" fillId="0" borderId="0" xfId="0" applyNumberFormat="1" applyFont="1" applyBorder="1" applyAlignment="1">
      <alignment vertical="center"/>
    </xf>
    <xf numFmtId="0" fontId="10" fillId="0" borderId="1" xfId="0" applyFont="1" applyBorder="1" applyAlignment="1">
      <alignment horizontal="center"/>
    </xf>
    <xf numFmtId="0" fontId="5" fillId="0" borderId="1" xfId="0" applyFont="1" applyFill="1" applyBorder="1" applyAlignment="1">
      <alignment horizontal="center"/>
    </xf>
    <xf numFmtId="169" fontId="2" fillId="0" borderId="1" xfId="2" applyNumberFormat="1" applyFont="1" applyBorder="1" applyAlignment="1"/>
    <xf numFmtId="0" fontId="23" fillId="5" borderId="1" xfId="0" applyFont="1" applyFill="1" applyBorder="1" applyAlignment="1">
      <alignment horizontal="center"/>
    </xf>
    <xf numFmtId="169" fontId="4" fillId="0" borderId="1" xfId="2" applyNumberFormat="1" applyFont="1" applyFill="1" applyBorder="1" applyAlignment="1">
      <alignment wrapText="1"/>
    </xf>
    <xf numFmtId="0" fontId="4" fillId="0" borderId="1" xfId="0" applyFont="1" applyFill="1" applyBorder="1"/>
    <xf numFmtId="165" fontId="4" fillId="0" borderId="1" xfId="10" applyFont="1" applyFill="1" applyBorder="1"/>
    <xf numFmtId="171" fontId="4" fillId="0" borderId="1" xfId="10" applyNumberFormat="1" applyFont="1" applyFill="1" applyBorder="1"/>
    <xf numFmtId="0" fontId="6" fillId="0" borderId="1" xfId="0" applyFont="1" applyFill="1" applyBorder="1"/>
    <xf numFmtId="43" fontId="6" fillId="0" borderId="1" xfId="10" applyNumberFormat="1" applyFont="1" applyFill="1" applyBorder="1"/>
    <xf numFmtId="0" fontId="4" fillId="0" borderId="0" xfId="0" applyFont="1" applyFill="1"/>
    <xf numFmtId="171" fontId="4" fillId="0" borderId="0" xfId="10" applyNumberFormat="1" applyFont="1" applyFill="1"/>
    <xf numFmtId="176" fontId="4" fillId="0" borderId="1" xfId="10" applyNumberFormat="1" applyFont="1" applyFill="1" applyBorder="1"/>
    <xf numFmtId="0" fontId="21" fillId="5" borderId="1" xfId="0" applyFont="1" applyFill="1" applyBorder="1"/>
    <xf numFmtId="0" fontId="21" fillId="5" borderId="1" xfId="0" applyFont="1" applyFill="1" applyBorder="1" applyAlignment="1">
      <alignment horizontal="center"/>
    </xf>
    <xf numFmtId="0" fontId="2" fillId="0" borderId="0" xfId="0" applyFont="1" applyBorder="1" applyAlignment="1"/>
    <xf numFmtId="0" fontId="20" fillId="0" borderId="0" xfId="0" applyFont="1" applyBorder="1" applyAlignment="1">
      <alignment vertical="center"/>
    </xf>
    <xf numFmtId="0" fontId="24" fillId="5" borderId="1" xfId="0" applyFont="1" applyFill="1" applyBorder="1" applyAlignment="1">
      <alignment horizontal="left"/>
    </xf>
    <xf numFmtId="0" fontId="22" fillId="5" borderId="1" xfId="0" applyFont="1" applyFill="1" applyBorder="1" applyAlignment="1">
      <alignment horizontal="center"/>
    </xf>
    <xf numFmtId="0" fontId="4" fillId="0" borderId="1" xfId="0" applyFont="1" applyBorder="1"/>
    <xf numFmtId="4" fontId="4" fillId="0" borderId="1" xfId="0" applyNumberFormat="1" applyFont="1" applyBorder="1"/>
    <xf numFmtId="0" fontId="6" fillId="0" borderId="1" xfId="0" applyFont="1" applyBorder="1"/>
    <xf numFmtId="175" fontId="4" fillId="0" borderId="1" xfId="2" applyNumberFormat="1" applyFont="1" applyBorder="1"/>
    <xf numFmtId="169" fontId="0" fillId="0" borderId="1" xfId="2" applyNumberFormat="1" applyFont="1" applyBorder="1" applyAlignment="1"/>
    <xf numFmtId="2" fontId="2" fillId="0" borderId="1" xfId="0" applyNumberFormat="1" applyFont="1" applyBorder="1" applyAlignment="1"/>
    <xf numFmtId="0" fontId="27" fillId="0" borderId="0" xfId="0" applyFont="1"/>
    <xf numFmtId="0" fontId="27" fillId="0" borderId="1" xfId="0" applyFont="1" applyBorder="1"/>
    <xf numFmtId="169" fontId="27" fillId="0" borderId="1" xfId="2" applyNumberFormat="1" applyFont="1" applyBorder="1"/>
    <xf numFmtId="0" fontId="28" fillId="0" borderId="1" xfId="0" applyFont="1" applyBorder="1"/>
    <xf numFmtId="169" fontId="28" fillId="0" borderId="1" xfId="0" applyNumberFormat="1" applyFont="1" applyBorder="1"/>
    <xf numFmtId="0" fontId="27" fillId="0" borderId="1" xfId="0" applyFont="1" applyFill="1" applyBorder="1"/>
    <xf numFmtId="169" fontId="28" fillId="0" borderId="1" xfId="2" applyNumberFormat="1" applyFont="1" applyBorder="1" applyAlignment="1"/>
    <xf numFmtId="0" fontId="28" fillId="0" borderId="1" xfId="0" applyFont="1" applyFill="1" applyBorder="1"/>
    <xf numFmtId="2" fontId="28" fillId="0" borderId="1" xfId="0" applyNumberFormat="1" applyFont="1" applyBorder="1"/>
    <xf numFmtId="2" fontId="27" fillId="0" borderId="0" xfId="0" applyNumberFormat="1" applyFont="1"/>
    <xf numFmtId="0" fontId="24" fillId="5" borderId="1" xfId="0" applyFont="1" applyFill="1" applyBorder="1" applyAlignment="1">
      <alignment horizontal="center"/>
    </xf>
    <xf numFmtId="0" fontId="4" fillId="0" borderId="1" xfId="0" applyFont="1" applyBorder="1" applyAlignment="1">
      <alignment horizontal="center"/>
    </xf>
    <xf numFmtId="0" fontId="29" fillId="0" borderId="1" xfId="0" applyFont="1" applyFill="1" applyBorder="1" applyAlignment="1">
      <alignment horizontal="center"/>
    </xf>
    <xf numFmtId="169" fontId="4" fillId="0" borderId="1" xfId="2" applyNumberFormat="1" applyFont="1" applyBorder="1" applyAlignment="1">
      <alignment horizontal="center"/>
    </xf>
    <xf numFmtId="0" fontId="0" fillId="0" borderId="1" xfId="0" applyFont="1" applyBorder="1" applyAlignment="1">
      <alignment horizontal="center" vertical="center"/>
    </xf>
    <xf numFmtId="0" fontId="27" fillId="0" borderId="1" xfId="0" applyFont="1" applyBorder="1" applyAlignment="1">
      <alignment wrapText="1"/>
    </xf>
    <xf numFmtId="2" fontId="27" fillId="0" borderId="1" xfId="0" applyNumberFormat="1" applyFont="1" applyBorder="1"/>
    <xf numFmtId="43" fontId="27" fillId="0" borderId="0" xfId="0" applyNumberFormat="1" applyFont="1"/>
    <xf numFmtId="169" fontId="27" fillId="0" borderId="0" xfId="2" applyNumberFormat="1" applyFont="1"/>
    <xf numFmtId="0" fontId="24" fillId="5" borderId="1" xfId="0" applyFont="1" applyFill="1" applyBorder="1"/>
    <xf numFmtId="9" fontId="27" fillId="0" borderId="1" xfId="1" applyFont="1" applyBorder="1"/>
    <xf numFmtId="169" fontId="28" fillId="0" borderId="1" xfId="2" applyNumberFormat="1" applyFont="1" applyBorder="1"/>
    <xf numFmtId="0" fontId="28" fillId="0" borderId="0" xfId="0" applyFont="1"/>
    <xf numFmtId="10" fontId="28" fillId="0" borderId="0" xfId="1" applyNumberFormat="1" applyFont="1"/>
    <xf numFmtId="0" fontId="21" fillId="2" borderId="18" xfId="0" applyFont="1" applyFill="1" applyBorder="1" applyAlignment="1">
      <alignment vertical="center"/>
    </xf>
    <xf numFmtId="0" fontId="21" fillId="2" borderId="14" xfId="0" applyFont="1" applyFill="1" applyBorder="1" applyAlignment="1">
      <alignment horizontal="center"/>
    </xf>
    <xf numFmtId="0" fontId="21" fillId="2" borderId="1" xfId="0" applyFont="1" applyFill="1" applyBorder="1" applyAlignment="1">
      <alignment horizontal="center"/>
    </xf>
    <xf numFmtId="0" fontId="29" fillId="0" borderId="5" xfId="0" applyFont="1" applyFill="1" applyBorder="1" applyAlignment="1">
      <alignment vertical="center"/>
    </xf>
    <xf numFmtId="37" fontId="30" fillId="0" borderId="1" xfId="3" applyNumberFormat="1" applyFont="1" applyFill="1" applyBorder="1" applyAlignment="1">
      <alignment vertical="center"/>
    </xf>
    <xf numFmtId="3" fontId="31" fillId="0" borderId="1" xfId="9" applyNumberFormat="1" applyFont="1" applyFill="1" applyBorder="1" applyAlignment="1">
      <alignment horizontal="right" vertical="center"/>
    </xf>
    <xf numFmtId="0" fontId="32" fillId="0" borderId="5" xfId="0" applyFont="1" applyFill="1" applyBorder="1" applyAlignment="1">
      <alignment vertical="center"/>
    </xf>
    <xf numFmtId="4" fontId="29" fillId="0" borderId="1" xfId="3" applyNumberFormat="1" applyFont="1" applyFill="1" applyBorder="1" applyAlignment="1">
      <alignment vertical="center"/>
    </xf>
    <xf numFmtId="0" fontId="30" fillId="0" borderId="5" xfId="0" applyFont="1" applyFill="1" applyBorder="1" applyAlignment="1">
      <alignment horizontal="left" vertical="center"/>
    </xf>
    <xf numFmtId="4" fontId="33" fillId="0" borderId="1" xfId="3" applyNumberFormat="1" applyFont="1" applyFill="1" applyBorder="1" applyAlignment="1">
      <alignment vertical="center"/>
    </xf>
    <xf numFmtId="0" fontId="30" fillId="0" borderId="5" xfId="0" applyFont="1" applyFill="1" applyBorder="1" applyAlignment="1">
      <alignment horizontal="left" vertical="center" indent="1"/>
    </xf>
    <xf numFmtId="3" fontId="30" fillId="0" borderId="1" xfId="3" applyNumberFormat="1" applyFont="1" applyFill="1" applyBorder="1" applyAlignment="1">
      <alignment vertical="center"/>
    </xf>
    <xf numFmtId="0" fontId="29" fillId="0" borderId="5" xfId="0" applyFont="1" applyFill="1" applyBorder="1" applyAlignment="1">
      <alignment horizontal="left" vertical="center" indent="1"/>
    </xf>
    <xf numFmtId="3" fontId="29" fillId="0" borderId="1" xfId="3" applyNumberFormat="1" applyFont="1" applyFill="1" applyBorder="1" applyAlignment="1">
      <alignment vertical="center"/>
    </xf>
    <xf numFmtId="0" fontId="29" fillId="0" borderId="5" xfId="0" applyFont="1" applyFill="1" applyBorder="1" applyAlignment="1">
      <alignment horizontal="left" vertical="center"/>
    </xf>
    <xf numFmtId="0" fontId="30" fillId="0" borderId="5" xfId="0" applyFont="1" applyFill="1" applyBorder="1" applyAlignment="1">
      <alignment vertical="center"/>
    </xf>
    <xf numFmtId="3" fontId="30" fillId="0" borderId="1" xfId="9" applyNumberFormat="1" applyFont="1" applyFill="1" applyBorder="1" applyAlignment="1">
      <alignment vertical="center"/>
    </xf>
    <xf numFmtId="3" fontId="29" fillId="0" borderId="1" xfId="9" applyNumberFormat="1" applyFont="1" applyFill="1" applyBorder="1" applyAlignment="1">
      <alignment vertical="center"/>
    </xf>
    <xf numFmtId="3" fontId="33" fillId="0" borderId="1" xfId="3" applyNumberFormat="1" applyFont="1" applyFill="1" applyBorder="1" applyAlignment="1">
      <alignment vertical="center"/>
    </xf>
    <xf numFmtId="3" fontId="31" fillId="0" borderId="1" xfId="3" applyNumberFormat="1" applyFont="1" applyFill="1" applyBorder="1" applyAlignment="1">
      <alignment vertical="center"/>
    </xf>
    <xf numFmtId="3" fontId="29" fillId="0" borderId="1" xfId="0" applyNumberFormat="1" applyFont="1" applyFill="1" applyBorder="1" applyAlignment="1">
      <alignment vertical="center"/>
    </xf>
    <xf numFmtId="0" fontId="6" fillId="0" borderId="5" xfId="0" applyFont="1" applyFill="1" applyBorder="1" applyAlignment="1">
      <alignment vertical="center"/>
    </xf>
    <xf numFmtId="3" fontId="6" fillId="0" borderId="1" xfId="3" applyNumberFormat="1" applyFont="1" applyFill="1" applyBorder="1" applyAlignment="1">
      <alignment vertical="center"/>
    </xf>
    <xf numFmtId="4" fontId="29" fillId="0" borderId="1" xfId="0" applyNumberFormat="1" applyFont="1" applyFill="1" applyBorder="1" applyAlignment="1">
      <alignment vertical="center"/>
    </xf>
    <xf numFmtId="0" fontId="34" fillId="0" borderId="5" xfId="0" applyFont="1" applyFill="1" applyBorder="1" applyAlignment="1">
      <alignment vertical="center"/>
    </xf>
    <xf numFmtId="4" fontId="35" fillId="0" borderId="1" xfId="0" applyNumberFormat="1" applyFont="1" applyFill="1" applyBorder="1" applyAlignment="1">
      <alignment vertical="center"/>
    </xf>
    <xf numFmtId="0" fontId="36" fillId="0" borderId="5" xfId="0" applyFont="1" applyFill="1" applyBorder="1" applyAlignment="1">
      <alignment vertical="center"/>
    </xf>
    <xf numFmtId="4" fontId="36" fillId="0" borderId="1" xfId="9" applyNumberFormat="1" applyFont="1" applyFill="1" applyBorder="1" applyAlignment="1">
      <alignment vertical="center"/>
    </xf>
    <xf numFmtId="0" fontId="36" fillId="0" borderId="6" xfId="0" applyFont="1" applyFill="1" applyBorder="1" applyAlignment="1">
      <alignment vertical="center"/>
    </xf>
    <xf numFmtId="4" fontId="36" fillId="0" borderId="7" xfId="0" applyNumberFormat="1" applyFont="1" applyFill="1" applyBorder="1" applyAlignment="1">
      <alignment vertical="center"/>
    </xf>
    <xf numFmtId="0" fontId="21" fillId="2" borderId="1" xfId="0" applyFont="1" applyFill="1" applyBorder="1"/>
    <xf numFmtId="0" fontId="15" fillId="0" borderId="0" xfId="6" applyFont="1" applyFill="1" applyBorder="1" applyAlignment="1">
      <alignment horizontal="center"/>
    </xf>
    <xf numFmtId="0" fontId="15" fillId="0" borderId="0" xfId="6" applyFont="1" applyFill="1" applyBorder="1" applyAlignment="1"/>
    <xf numFmtId="173" fontId="29" fillId="0" borderId="1" xfId="9" applyNumberFormat="1" applyFont="1" applyFill="1" applyBorder="1" applyAlignment="1">
      <alignment vertical="center"/>
    </xf>
    <xf numFmtId="173" fontId="30" fillId="0" borderId="1" xfId="9" applyNumberFormat="1" applyFont="1" applyFill="1" applyBorder="1" applyAlignment="1">
      <alignment vertical="center"/>
    </xf>
    <xf numFmtId="0" fontId="21" fillId="5" borderId="1" xfId="0" applyFont="1" applyFill="1" applyBorder="1" applyAlignment="1">
      <alignment vertical="center"/>
    </xf>
    <xf numFmtId="0" fontId="21" fillId="5" borderId="1" xfId="0" applyFont="1" applyFill="1" applyBorder="1" applyAlignment="1">
      <alignment horizontal="center" vertical="center"/>
    </xf>
    <xf numFmtId="167" fontId="24" fillId="5" borderId="1" xfId="3" applyNumberFormat="1" applyFont="1" applyFill="1" applyBorder="1" applyAlignment="1">
      <alignment horizontal="center"/>
    </xf>
    <xf numFmtId="0" fontId="30" fillId="0" borderId="1" xfId="0" applyFont="1" applyBorder="1" applyAlignment="1">
      <alignment vertical="center"/>
    </xf>
    <xf numFmtId="0" fontId="30" fillId="0" borderId="1" xfId="0" applyFont="1" applyBorder="1" applyAlignment="1">
      <alignment horizontal="center" vertical="center"/>
    </xf>
    <xf numFmtId="167" fontId="29" fillId="0" borderId="1" xfId="3" applyNumberFormat="1" applyFont="1" applyFill="1" applyBorder="1"/>
    <xf numFmtId="0" fontId="30" fillId="0" borderId="1" xfId="0" applyFont="1" applyBorder="1"/>
    <xf numFmtId="0" fontId="29" fillId="0" borderId="1" xfId="0" applyFont="1" applyBorder="1"/>
    <xf numFmtId="167" fontId="30" fillId="0" borderId="1" xfId="0" applyNumberFormat="1" applyFont="1" applyBorder="1"/>
    <xf numFmtId="0" fontId="6" fillId="2" borderId="1" xfId="0" applyFont="1" applyFill="1" applyBorder="1"/>
    <xf numFmtId="0" fontId="38" fillId="0" borderId="1" xfId="0" applyFont="1" applyFill="1" applyBorder="1"/>
    <xf numFmtId="0" fontId="39" fillId="0" borderId="1" xfId="0" applyFont="1" applyFill="1" applyBorder="1" applyAlignment="1">
      <alignment horizontal="center"/>
    </xf>
    <xf numFmtId="0" fontId="27" fillId="0" borderId="1" xfId="0" applyFont="1" applyFill="1" applyBorder="1" applyAlignment="1">
      <alignment horizontal="left"/>
    </xf>
    <xf numFmtId="0" fontId="6" fillId="0" borderId="1" xfId="0" applyFont="1" applyFill="1" applyBorder="1" applyAlignment="1">
      <alignment horizontal="left"/>
    </xf>
    <xf numFmtId="167" fontId="29" fillId="0" borderId="1" xfId="0" applyNumberFormat="1" applyFont="1" applyFill="1" applyBorder="1"/>
    <xf numFmtId="167" fontId="30" fillId="0" borderId="1" xfId="0" applyNumberFormat="1" applyFont="1" applyFill="1" applyBorder="1"/>
    <xf numFmtId="0" fontId="21" fillId="2" borderId="1" xfId="8" applyFont="1" applyFill="1" applyBorder="1" applyAlignment="1" applyProtection="1"/>
    <xf numFmtId="0" fontId="6" fillId="0" borderId="1" xfId="0" applyFont="1" applyFill="1" applyBorder="1" applyAlignment="1">
      <alignment horizontal="center"/>
    </xf>
    <xf numFmtId="0" fontId="27" fillId="0" borderId="0" xfId="0" applyFont="1" applyAlignment="1">
      <alignment horizontal="left"/>
    </xf>
    <xf numFmtId="167" fontId="29" fillId="0" borderId="0" xfId="0" applyNumberFormat="1" applyFont="1" applyFill="1" applyBorder="1"/>
    <xf numFmtId="0" fontId="6" fillId="3" borderId="0" xfId="0" applyFont="1" applyFill="1" applyBorder="1" applyAlignment="1">
      <alignment horizontal="left" wrapText="1"/>
    </xf>
    <xf numFmtId="0" fontId="6" fillId="0" borderId="0" xfId="0" applyFont="1" applyFill="1" applyBorder="1" applyAlignment="1">
      <alignment horizontal="center"/>
    </xf>
    <xf numFmtId="0" fontId="6" fillId="0" borderId="0" xfId="0" applyFont="1" applyFill="1" applyBorder="1"/>
    <xf numFmtId="0" fontId="6" fillId="0" borderId="0" xfId="0" applyFont="1" applyFill="1" applyBorder="1" applyAlignment="1">
      <alignment wrapText="1"/>
    </xf>
    <xf numFmtId="10" fontId="27" fillId="0" borderId="0" xfId="0" applyNumberFormat="1" applyFont="1" applyBorder="1"/>
    <xf numFmtId="0" fontId="27" fillId="0" borderId="0" xfId="0" applyFont="1" applyFill="1" applyBorder="1" applyAlignment="1">
      <alignment wrapText="1"/>
    </xf>
    <xf numFmtId="9" fontId="27" fillId="0" borderId="0" xfId="0" applyNumberFormat="1" applyFont="1"/>
    <xf numFmtId="10" fontId="4" fillId="0" borderId="0" xfId="1" applyNumberFormat="1" applyFont="1" applyBorder="1"/>
    <xf numFmtId="9" fontId="27" fillId="0" borderId="0" xfId="0" applyNumberFormat="1" applyFont="1" applyBorder="1"/>
    <xf numFmtId="9" fontId="27" fillId="0" borderId="0" xfId="0" applyNumberFormat="1" applyFont="1" applyFill="1" applyBorder="1"/>
    <xf numFmtId="9" fontId="27" fillId="0" borderId="0" xfId="1" applyFont="1"/>
    <xf numFmtId="10" fontId="27" fillId="0" borderId="0" xfId="0" applyNumberFormat="1" applyFont="1"/>
    <xf numFmtId="166" fontId="27" fillId="0" borderId="0" xfId="0" applyNumberFormat="1" applyFont="1" applyBorder="1"/>
    <xf numFmtId="0" fontId="27" fillId="0" borderId="0" xfId="0" applyFont="1" applyBorder="1"/>
    <xf numFmtId="0" fontId="27" fillId="0" borderId="0" xfId="0" applyFont="1" applyFill="1" applyBorder="1"/>
    <xf numFmtId="165" fontId="27" fillId="0" borderId="0" xfId="0" applyNumberFormat="1" applyFont="1" applyBorder="1"/>
    <xf numFmtId="1" fontId="27" fillId="0" borderId="0" xfId="0" applyNumberFormat="1" applyFont="1" applyBorder="1"/>
    <xf numFmtId="9" fontId="27" fillId="0" borderId="1" xfId="0" applyNumberFormat="1" applyFont="1" applyBorder="1"/>
    <xf numFmtId="165" fontId="27" fillId="0" borderId="1" xfId="0" applyNumberFormat="1" applyFont="1" applyBorder="1"/>
    <xf numFmtId="0" fontId="28" fillId="0" borderId="0" xfId="0" applyFont="1" applyAlignment="1">
      <alignment horizontal="center"/>
    </xf>
    <xf numFmtId="9" fontId="28" fillId="0" borderId="0" xfId="0" applyNumberFormat="1" applyFont="1" applyAlignment="1">
      <alignment horizontal="center"/>
    </xf>
    <xf numFmtId="10" fontId="28" fillId="0" borderId="0" xfId="0" applyNumberFormat="1" applyFont="1" applyAlignment="1">
      <alignment horizontal="center"/>
    </xf>
    <xf numFmtId="169" fontId="27" fillId="0" borderId="1" xfId="2" applyNumberFormat="1" applyFont="1" applyFill="1" applyBorder="1"/>
    <xf numFmtId="0" fontId="28" fillId="0" borderId="1" xfId="0" applyFont="1" applyBorder="1" applyAlignment="1">
      <alignment wrapText="1"/>
    </xf>
    <xf numFmtId="0" fontId="28" fillId="0" borderId="0" xfId="0" applyFont="1" applyBorder="1" applyAlignment="1">
      <alignment horizontal="center"/>
    </xf>
    <xf numFmtId="9" fontId="28" fillId="0" borderId="0" xfId="0" applyNumberFormat="1" applyFont="1" applyBorder="1" applyAlignment="1">
      <alignment horizontal="center"/>
    </xf>
    <xf numFmtId="10" fontId="28" fillId="0" borderId="0" xfId="0" applyNumberFormat="1" applyFont="1" applyBorder="1" applyAlignment="1">
      <alignment horizontal="center"/>
    </xf>
    <xf numFmtId="167" fontId="27" fillId="0" borderId="1" xfId="0" applyNumberFormat="1" applyFont="1" applyBorder="1"/>
    <xf numFmtId="167" fontId="28" fillId="0" borderId="1" xfId="3" applyNumberFormat="1" applyFont="1" applyBorder="1"/>
    <xf numFmtId="167" fontId="28" fillId="0" borderId="1" xfId="0" applyNumberFormat="1" applyFont="1" applyBorder="1"/>
    <xf numFmtId="169" fontId="27" fillId="0" borderId="1" xfId="0" applyNumberFormat="1" applyFont="1" applyBorder="1"/>
    <xf numFmtId="165" fontId="27" fillId="0" borderId="0" xfId="0" applyNumberFormat="1" applyFont="1"/>
    <xf numFmtId="167" fontId="27" fillId="0" borderId="1" xfId="3" applyNumberFormat="1" applyFont="1" applyFill="1" applyBorder="1"/>
    <xf numFmtId="167" fontId="27" fillId="0" borderId="1" xfId="0" applyNumberFormat="1" applyFont="1" applyFill="1" applyBorder="1"/>
    <xf numFmtId="167" fontId="27" fillId="0" borderId="0" xfId="0" applyNumberFormat="1" applyFont="1"/>
    <xf numFmtId="169" fontId="27" fillId="0" borderId="16" xfId="2" applyNumberFormat="1" applyFont="1" applyBorder="1"/>
    <xf numFmtId="169" fontId="28" fillId="0" borderId="1" xfId="2" applyNumberFormat="1" applyFont="1" applyBorder="1" applyAlignment="1">
      <alignment wrapText="1"/>
    </xf>
    <xf numFmtId="0" fontId="26" fillId="0" borderId="0" xfId="0" applyFont="1" applyAlignment="1"/>
    <xf numFmtId="164" fontId="27" fillId="0" borderId="0" xfId="0" applyNumberFormat="1" applyFont="1"/>
    <xf numFmtId="0" fontId="21" fillId="2" borderId="1" xfId="0" applyFont="1" applyFill="1" applyBorder="1" applyAlignment="1">
      <alignment horizontal="right"/>
    </xf>
    <xf numFmtId="2" fontId="21" fillId="2" borderId="1" xfId="0" applyNumberFormat="1" applyFont="1" applyFill="1" applyBorder="1" applyAlignment="1">
      <alignment horizontal="right"/>
    </xf>
    <xf numFmtId="0" fontId="40" fillId="2" borderId="1" xfId="0" applyFont="1" applyFill="1" applyBorder="1" applyAlignment="1">
      <alignment vertical="center" wrapText="1"/>
    </xf>
    <xf numFmtId="0" fontId="40" fillId="2" borderId="1" xfId="0" applyFont="1" applyFill="1" applyBorder="1" applyAlignment="1">
      <alignment horizontal="center" vertical="center" wrapText="1"/>
    </xf>
    <xf numFmtId="0" fontId="41" fillId="0" borderId="1" xfId="0" applyFont="1" applyBorder="1" applyAlignment="1">
      <alignment horizontal="right" vertical="center" wrapText="1"/>
    </xf>
    <xf numFmtId="167" fontId="42" fillId="0" borderId="1" xfId="3" applyNumberFormat="1" applyFont="1" applyBorder="1" applyAlignment="1">
      <alignment horizontal="right" vertical="center"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169" fontId="29" fillId="0" borderId="1" xfId="2" applyNumberFormat="1" applyFont="1" applyFill="1" applyBorder="1" applyAlignment="1">
      <alignment horizontal="center" vertical="center" wrapText="1"/>
    </xf>
    <xf numFmtId="0" fontId="42" fillId="0" borderId="1" xfId="0" applyFont="1" applyBorder="1" applyAlignment="1">
      <alignment horizontal="center" vertical="center" wrapText="1"/>
    </xf>
    <xf numFmtId="0" fontId="42" fillId="0" borderId="1" xfId="0" applyFont="1" applyFill="1" applyBorder="1" applyAlignment="1">
      <alignment vertical="center" wrapText="1"/>
    </xf>
    <xf numFmtId="169" fontId="41" fillId="0" borderId="1" xfId="2" applyNumberFormat="1" applyFont="1" applyFill="1" applyBorder="1" applyAlignment="1">
      <alignment horizontal="right" vertical="center" wrapText="1"/>
    </xf>
    <xf numFmtId="0" fontId="41" fillId="0" borderId="1" xfId="0" applyFont="1" applyFill="1" applyBorder="1" applyAlignment="1">
      <alignment vertical="center" wrapText="1"/>
    </xf>
    <xf numFmtId="169" fontId="42" fillId="0" borderId="1" xfId="2" applyNumberFormat="1" applyFont="1" applyFill="1" applyBorder="1" applyAlignment="1">
      <alignment horizontal="right" vertical="center" wrapText="1"/>
    </xf>
    <xf numFmtId="0" fontId="40" fillId="2" borderId="8" xfId="0" applyFont="1" applyFill="1" applyBorder="1" applyAlignment="1">
      <alignment vertical="center" wrapText="1"/>
    </xf>
    <xf numFmtId="0" fontId="40" fillId="2" borderId="4" xfId="0" applyFont="1" applyFill="1" applyBorder="1" applyAlignment="1">
      <alignment horizontal="center" vertical="center" wrapText="1"/>
    </xf>
    <xf numFmtId="167" fontId="42" fillId="0" borderId="1" xfId="3" applyNumberFormat="1" applyFont="1" applyFill="1" applyBorder="1" applyAlignment="1">
      <alignment horizontal="right" vertical="center" wrapText="1"/>
    </xf>
    <xf numFmtId="167" fontId="28" fillId="0" borderId="1" xfId="3" applyNumberFormat="1" applyFont="1" applyBorder="1" applyAlignment="1">
      <alignment horizontal="right" vertical="center" wrapText="1"/>
    </xf>
    <xf numFmtId="169" fontId="29" fillId="6" borderId="1" xfId="2" applyNumberFormat="1" applyFont="1" applyFill="1" applyBorder="1" applyAlignment="1">
      <alignment horizontal="left" vertical="center" wrapText="1"/>
    </xf>
    <xf numFmtId="169" fontId="29" fillId="6" borderId="1" xfId="2" applyNumberFormat="1" applyFont="1" applyFill="1" applyBorder="1" applyAlignment="1">
      <alignment vertical="center" wrapText="1"/>
    </xf>
    <xf numFmtId="169" fontId="29" fillId="6" borderId="1" xfId="2" applyNumberFormat="1" applyFont="1" applyFill="1" applyBorder="1" applyAlignment="1">
      <alignment horizontal="right" vertical="center" wrapText="1"/>
    </xf>
    <xf numFmtId="0" fontId="27" fillId="6" borderId="1" xfId="0" applyFont="1" applyFill="1" applyBorder="1"/>
    <xf numFmtId="167" fontId="41" fillId="6" borderId="1" xfId="3" applyNumberFormat="1" applyFont="1" applyFill="1" applyBorder="1" applyAlignment="1">
      <alignment horizontal="right" vertical="center" wrapText="1"/>
    </xf>
    <xf numFmtId="0" fontId="42" fillId="6" borderId="1" xfId="0" applyFont="1" applyFill="1" applyBorder="1" applyAlignment="1">
      <alignment vertical="center" wrapText="1"/>
    </xf>
    <xf numFmtId="0" fontId="42" fillId="6" borderId="1" xfId="0" applyFont="1" applyFill="1" applyBorder="1" applyAlignment="1">
      <alignment horizontal="center" vertical="center" wrapText="1"/>
    </xf>
    <xf numFmtId="169" fontId="42" fillId="6" borderId="1" xfId="2" applyNumberFormat="1" applyFont="1" applyFill="1" applyBorder="1" applyAlignment="1">
      <alignment horizontal="right" vertical="center" wrapText="1"/>
    </xf>
    <xf numFmtId="0" fontId="28" fillId="6" borderId="1" xfId="0" applyFont="1" applyFill="1" applyBorder="1"/>
    <xf numFmtId="167" fontId="42" fillId="6" borderId="1" xfId="3" applyNumberFormat="1" applyFont="1" applyFill="1" applyBorder="1" applyAlignment="1">
      <alignment horizontal="right" vertical="center" wrapText="1"/>
    </xf>
    <xf numFmtId="0" fontId="41" fillId="6" borderId="1" xfId="0" applyFont="1" applyFill="1" applyBorder="1" applyAlignment="1">
      <alignment horizontal="center" vertical="center" wrapText="1"/>
    </xf>
    <xf numFmtId="0" fontId="41" fillId="6" borderId="1" xfId="0" applyFont="1" applyFill="1" applyBorder="1" applyAlignment="1">
      <alignment vertical="center" wrapText="1"/>
    </xf>
    <xf numFmtId="0" fontId="12" fillId="6" borderId="1" xfId="0" applyFont="1" applyFill="1" applyBorder="1" applyAlignment="1">
      <alignment horizontal="center" vertical="center" wrapText="1"/>
    </xf>
    <xf numFmtId="167" fontId="12" fillId="6" borderId="1" xfId="3" applyNumberFormat="1" applyFont="1" applyFill="1" applyBorder="1" applyAlignment="1">
      <alignment horizontal="center" vertical="center" wrapText="1"/>
    </xf>
    <xf numFmtId="167" fontId="12" fillId="6" borderId="1" xfId="3" applyNumberFormat="1" applyFont="1" applyFill="1" applyBorder="1" applyAlignment="1">
      <alignment horizontal="right" vertical="center" wrapText="1"/>
    </xf>
    <xf numFmtId="167" fontId="41" fillId="6" borderId="1" xfId="3" applyNumberFormat="1" applyFont="1" applyFill="1" applyBorder="1" applyAlignment="1">
      <alignment horizontal="center" vertical="center" wrapText="1"/>
    </xf>
    <xf numFmtId="167" fontId="41" fillId="6" borderId="10" xfId="3" applyNumberFormat="1" applyFont="1" applyFill="1" applyBorder="1" applyAlignment="1">
      <alignment horizontal="right" vertical="center" wrapText="1"/>
    </xf>
    <xf numFmtId="167" fontId="42" fillId="6" borderId="10" xfId="3" applyNumberFormat="1" applyFont="1" applyFill="1" applyBorder="1" applyAlignment="1">
      <alignment horizontal="right" vertical="center" wrapText="1"/>
    </xf>
    <xf numFmtId="0" fontId="42" fillId="6" borderId="16" xfId="0" applyFont="1" applyFill="1" applyBorder="1" applyAlignment="1">
      <alignment horizontal="center" vertical="center" wrapText="1"/>
    </xf>
    <xf numFmtId="9" fontId="27" fillId="6" borderId="1" xfId="0" applyNumberFormat="1" applyFont="1" applyFill="1" applyBorder="1"/>
    <xf numFmtId="0" fontId="27" fillId="6" borderId="0" xfId="0" applyFont="1" applyFill="1"/>
    <xf numFmtId="0" fontId="29" fillId="6" borderId="0" xfId="0" applyFont="1" applyFill="1"/>
    <xf numFmtId="0" fontId="30" fillId="6" borderId="1" xfId="0" applyFont="1" applyFill="1" applyBorder="1"/>
    <xf numFmtId="0" fontId="29" fillId="6" borderId="1" xfId="0" applyFont="1" applyFill="1" applyBorder="1"/>
    <xf numFmtId="2" fontId="29" fillId="6" borderId="1" xfId="0" applyNumberFormat="1" applyFont="1" applyFill="1" applyBorder="1"/>
    <xf numFmtId="177" fontId="29" fillId="6" borderId="1" xfId="0" applyNumberFormat="1" applyFont="1" applyFill="1" applyBorder="1"/>
    <xf numFmtId="2" fontId="30" fillId="6" borderId="1" xfId="0" applyNumberFormat="1" applyFont="1" applyFill="1" applyBorder="1"/>
    <xf numFmtId="169" fontId="27" fillId="6" borderId="1" xfId="2" applyNumberFormat="1" applyFont="1" applyFill="1" applyBorder="1"/>
    <xf numFmtId="167" fontId="27" fillId="6" borderId="1" xfId="3" applyNumberFormat="1" applyFont="1" applyFill="1" applyBorder="1"/>
    <xf numFmtId="0" fontId="27" fillId="6" borderId="1" xfId="0" applyFont="1" applyFill="1" applyBorder="1" applyAlignment="1">
      <alignment wrapText="1"/>
    </xf>
    <xf numFmtId="169" fontId="27" fillId="6" borderId="1" xfId="2" applyNumberFormat="1" applyFont="1" applyFill="1" applyBorder="1" applyAlignment="1">
      <alignment wrapText="1"/>
    </xf>
    <xf numFmtId="169" fontId="28" fillId="6" borderId="1" xfId="2" applyNumberFormat="1" applyFont="1" applyFill="1" applyBorder="1"/>
    <xf numFmtId="166" fontId="27" fillId="6" borderId="0" xfId="0" applyNumberFormat="1" applyFont="1" applyFill="1" applyBorder="1"/>
    <xf numFmtId="0" fontId="42" fillId="0" borderId="1" xfId="0" applyFont="1" applyBorder="1" applyAlignment="1">
      <alignment horizontal="center" vertical="center" wrapText="1"/>
    </xf>
    <xf numFmtId="0" fontId="29" fillId="6" borderId="1" xfId="0" applyFont="1" applyFill="1" applyBorder="1" applyAlignment="1">
      <alignment vertical="center" wrapText="1"/>
    </xf>
    <xf numFmtId="0" fontId="27" fillId="6" borderId="1" xfId="0" applyFont="1" applyFill="1" applyBorder="1" applyAlignment="1">
      <alignment vertical="center" wrapText="1"/>
    </xf>
    <xf numFmtId="0" fontId="12" fillId="6" borderId="1" xfId="0" applyFont="1" applyFill="1" applyBorder="1" applyAlignment="1">
      <alignment vertical="center" wrapText="1"/>
    </xf>
    <xf numFmtId="0" fontId="41" fillId="6" borderId="9" xfId="0" applyFont="1" applyFill="1" applyBorder="1" applyAlignment="1">
      <alignment horizontal="right" vertical="center" wrapText="1"/>
    </xf>
    <xf numFmtId="0" fontId="41" fillId="6" borderId="10" xfId="0" applyFont="1" applyFill="1" applyBorder="1" applyAlignment="1">
      <alignment vertical="center" wrapText="1"/>
    </xf>
    <xf numFmtId="174" fontId="27" fillId="0" borderId="0" xfId="0" applyNumberFormat="1" applyFont="1"/>
    <xf numFmtId="169" fontId="0" fillId="0" borderId="1" xfId="0" applyNumberFormat="1" applyFont="1" applyBorder="1"/>
    <xf numFmtId="0" fontId="28" fillId="0" borderId="1" xfId="0" applyFont="1" applyBorder="1" applyAlignment="1">
      <alignment horizontal="center" vertical="center"/>
    </xf>
    <xf numFmtId="10" fontId="4" fillId="0" borderId="1" xfId="0" applyNumberFormat="1" applyFont="1" applyBorder="1"/>
    <xf numFmtId="0" fontId="4" fillId="0" borderId="1" xfId="0" quotePrefix="1" applyFont="1" applyBorder="1" applyAlignment="1">
      <alignment horizontal="left"/>
    </xf>
    <xf numFmtId="4" fontId="7" fillId="0" borderId="1" xfId="0" applyNumberFormat="1" applyFont="1" applyBorder="1"/>
    <xf numFmtId="4" fontId="0" fillId="0" borderId="1" xfId="0" applyNumberFormat="1" applyBorder="1"/>
    <xf numFmtId="0" fontId="28" fillId="0" borderId="0" xfId="0" applyFont="1" applyBorder="1"/>
    <xf numFmtId="169" fontId="28" fillId="0" borderId="0" xfId="2" applyNumberFormat="1" applyFont="1" applyBorder="1"/>
    <xf numFmtId="0" fontId="41" fillId="0" borderId="1" xfId="0" applyFont="1" applyBorder="1" applyAlignment="1">
      <alignment horizontal="center" vertical="center" wrapText="1"/>
    </xf>
    <xf numFmtId="9" fontId="2" fillId="7" borderId="0" xfId="0" applyNumberFormat="1" applyFont="1" applyFill="1"/>
    <xf numFmtId="9" fontId="27" fillId="7" borderId="0" xfId="0" applyNumberFormat="1" applyFont="1" applyFill="1"/>
    <xf numFmtId="0" fontId="27" fillId="7" borderId="0" xfId="0" applyNumberFormat="1" applyFont="1" applyFill="1"/>
    <xf numFmtId="9" fontId="27" fillId="7" borderId="1" xfId="0" applyNumberFormat="1" applyFont="1" applyFill="1" applyBorder="1"/>
    <xf numFmtId="0" fontId="27" fillId="7" borderId="0" xfId="0" applyFont="1" applyFill="1"/>
    <xf numFmtId="0" fontId="28" fillId="7" borderId="1" xfId="0" applyFont="1" applyFill="1" applyBorder="1"/>
    <xf numFmtId="167" fontId="28" fillId="7" borderId="1" xfId="3" applyNumberFormat="1" applyFont="1" applyFill="1" applyBorder="1"/>
    <xf numFmtId="9" fontId="14" fillId="7" borderId="0" xfId="1" applyFont="1" applyFill="1" applyBorder="1"/>
    <xf numFmtId="9" fontId="42" fillId="7" borderId="1" xfId="0" applyNumberFormat="1" applyFont="1" applyFill="1" applyBorder="1" applyAlignment="1">
      <alignment horizontal="center" vertical="center" wrapText="1"/>
    </xf>
    <xf numFmtId="0" fontId="2" fillId="0" borderId="0" xfId="0" applyFont="1" applyAlignment="1"/>
    <xf numFmtId="0" fontId="0" fillId="6" borderId="1" xfId="0" applyFill="1" applyBorder="1"/>
    <xf numFmtId="0" fontId="0" fillId="7" borderId="1" xfId="0" applyFill="1" applyBorder="1"/>
    <xf numFmtId="0" fontId="45" fillId="0" borderId="0" xfId="0" applyFont="1"/>
    <xf numFmtId="0" fontId="0" fillId="0" borderId="0" xfId="0" applyAlignment="1">
      <alignment wrapText="1"/>
    </xf>
    <xf numFmtId="0" fontId="52" fillId="5" borderId="1" xfId="0" applyFont="1" applyFill="1" applyBorder="1"/>
    <xf numFmtId="0" fontId="52" fillId="5" borderId="1" xfId="0" applyFont="1" applyFill="1" applyBorder="1" applyAlignment="1">
      <alignment wrapText="1"/>
    </xf>
    <xf numFmtId="0" fontId="0" fillId="0" borderId="1" xfId="0" applyBorder="1" applyAlignment="1">
      <alignment horizontal="center"/>
    </xf>
    <xf numFmtId="0" fontId="52" fillId="5" borderId="2" xfId="0" applyFont="1" applyFill="1" applyBorder="1" applyAlignment="1">
      <alignment wrapText="1"/>
    </xf>
    <xf numFmtId="0" fontId="0" fillId="0" borderId="0" xfId="0" applyFill="1" applyBorder="1"/>
    <xf numFmtId="0" fontId="0" fillId="0" borderId="1" xfId="0" applyFill="1" applyBorder="1"/>
    <xf numFmtId="0" fontId="0" fillId="0" borderId="0" xfId="0" applyBorder="1"/>
    <xf numFmtId="0" fontId="27" fillId="0" borderId="1" xfId="0" applyFont="1" applyFill="1" applyBorder="1" applyAlignment="1">
      <alignment wrapText="1"/>
    </xf>
    <xf numFmtId="167" fontId="27" fillId="0" borderId="1" xfId="1" applyNumberFormat="1" applyFont="1" applyBorder="1"/>
    <xf numFmtId="165" fontId="27" fillId="0" borderId="1" xfId="0" applyNumberFormat="1" applyFont="1" applyFill="1" applyBorder="1"/>
    <xf numFmtId="9" fontId="28" fillId="7" borderId="1" xfId="1" applyFont="1" applyFill="1" applyBorder="1"/>
    <xf numFmtId="9" fontId="0" fillId="6" borderId="1" xfId="1" applyFont="1" applyFill="1" applyBorder="1"/>
    <xf numFmtId="9" fontId="0" fillId="7" borderId="1" xfId="0" applyNumberFormat="1" applyFill="1" applyBorder="1"/>
    <xf numFmtId="0" fontId="2" fillId="0" borderId="11" xfId="0" applyFont="1" applyFill="1" applyBorder="1" applyAlignment="1">
      <alignment wrapText="1"/>
    </xf>
    <xf numFmtId="170" fontId="0" fillId="0" borderId="0" xfId="0" applyNumberFormat="1"/>
    <xf numFmtId="0" fontId="0" fillId="0" borderId="1" xfId="0" applyNumberFormat="1" applyBorder="1"/>
    <xf numFmtId="0" fontId="0" fillId="0" borderId="0" xfId="0" applyAlignment="1">
      <alignment horizontal="center"/>
    </xf>
    <xf numFmtId="169" fontId="27" fillId="0" borderId="0" xfId="2" applyNumberFormat="1" applyFont="1" applyBorder="1"/>
    <xf numFmtId="0" fontId="52" fillId="5" borderId="1" xfId="0" applyFont="1" applyFill="1" applyBorder="1" applyAlignment="1">
      <alignment horizontal="center"/>
    </xf>
    <xf numFmtId="0" fontId="52" fillId="0" borderId="0" xfId="0" applyFont="1" applyFill="1" applyBorder="1" applyAlignment="1">
      <alignment horizontal="center"/>
    </xf>
    <xf numFmtId="0" fontId="0" fillId="0" borderId="0" xfId="0" applyNumberFormat="1" applyFill="1" applyBorder="1"/>
    <xf numFmtId="1" fontId="0" fillId="0" borderId="0" xfId="0" applyNumberFormat="1" applyFill="1" applyBorder="1"/>
    <xf numFmtId="0" fontId="2" fillId="0" borderId="0" xfId="0" applyFont="1" applyFill="1" applyBorder="1"/>
    <xf numFmtId="169" fontId="2" fillId="0" borderId="0" xfId="2" applyNumberFormat="1" applyFont="1" applyFill="1" applyBorder="1"/>
    <xf numFmtId="1" fontId="27" fillId="0" borderId="1" xfId="0" applyNumberFormat="1" applyFont="1" applyBorder="1"/>
    <xf numFmtId="0" fontId="0" fillId="0" borderId="0" xfId="0" applyAlignment="1">
      <alignment horizontal="center"/>
    </xf>
    <xf numFmtId="0" fontId="0" fillId="0" borderId="14" xfId="0" applyBorder="1" applyAlignment="1">
      <alignment horizontal="center" vertical="center"/>
    </xf>
    <xf numFmtId="9" fontId="52" fillId="7" borderId="1" xfId="0" applyNumberFormat="1" applyFont="1" applyFill="1" applyBorder="1"/>
    <xf numFmtId="9" fontId="52" fillId="7" borderId="1" xfId="0" applyNumberFormat="1" applyFont="1" applyFill="1" applyBorder="1" applyAlignment="1">
      <alignment horizontal="center"/>
    </xf>
    <xf numFmtId="0" fontId="2" fillId="0" borderId="0" xfId="0" applyFont="1" applyAlignment="1">
      <alignment horizontal="center"/>
    </xf>
    <xf numFmtId="0" fontId="0" fillId="0" borderId="0" xfId="0" applyAlignment="1">
      <alignment horizontal="center"/>
    </xf>
    <xf numFmtId="0" fontId="40" fillId="2" borderId="1" xfId="0" applyFont="1" applyFill="1" applyBorder="1" applyAlignment="1">
      <alignment horizontal="center" vertical="center" wrapText="1"/>
    </xf>
    <xf numFmtId="0" fontId="28" fillId="0" borderId="0" xfId="0" applyFont="1" applyAlignment="1">
      <alignment horizontal="center"/>
    </xf>
    <xf numFmtId="9" fontId="0" fillId="0" borderId="1" xfId="0" applyNumberFormat="1" applyBorder="1"/>
    <xf numFmtId="0" fontId="27" fillId="7" borderId="1" xfId="0" applyFont="1" applyFill="1" applyBorder="1"/>
    <xf numFmtId="9" fontId="27" fillId="0" borderId="1" xfId="0" applyNumberFormat="1" applyFont="1" applyFill="1" applyBorder="1"/>
    <xf numFmtId="9" fontId="0" fillId="6" borderId="1" xfId="0" applyNumberFormat="1" applyFill="1" applyBorder="1"/>
    <xf numFmtId="0" fontId="0" fillId="6" borderId="1" xfId="1" applyNumberFormat="1" applyFont="1" applyFill="1" applyBorder="1"/>
    <xf numFmtId="0" fontId="0" fillId="0" borderId="1" xfId="1" applyNumberFormat="1" applyFont="1" applyFill="1" applyBorder="1"/>
    <xf numFmtId="0" fontId="0" fillId="0" borderId="20" xfId="0" applyBorder="1" applyAlignment="1">
      <alignment vertical="center" wrapText="1"/>
    </xf>
    <xf numFmtId="0" fontId="0" fillId="0" borderId="2" xfId="0" applyBorder="1" applyAlignment="1">
      <alignment vertical="center" wrapText="1"/>
    </xf>
    <xf numFmtId="0" fontId="0" fillId="0" borderId="14" xfId="0" applyBorder="1" applyAlignment="1">
      <alignment vertical="center" wrapText="1"/>
    </xf>
    <xf numFmtId="0" fontId="2" fillId="0" borderId="14" xfId="0" applyFont="1" applyBorder="1" applyAlignment="1">
      <alignment horizontal="center" vertical="center"/>
    </xf>
    <xf numFmtId="0" fontId="2" fillId="6" borderId="1" xfId="0" applyFont="1" applyFill="1" applyBorder="1"/>
    <xf numFmtId="0" fontId="2" fillId="0" borderId="1" xfId="0" applyFont="1" applyFill="1" applyBorder="1"/>
    <xf numFmtId="0" fontId="28" fillId="0" borderId="1" xfId="0" applyFont="1" applyFill="1" applyBorder="1" applyAlignment="1">
      <alignment horizontal="left"/>
    </xf>
    <xf numFmtId="169" fontId="4" fillId="0" borderId="1" xfId="2" applyNumberFormat="1" applyFont="1" applyFill="1" applyBorder="1"/>
    <xf numFmtId="171" fontId="6" fillId="0" borderId="1" xfId="10" applyNumberFormat="1" applyFont="1" applyFill="1" applyBorder="1"/>
    <xf numFmtId="169" fontId="6" fillId="0" borderId="1" xfId="2" applyNumberFormat="1" applyFont="1" applyFill="1" applyBorder="1"/>
    <xf numFmtId="3" fontId="27" fillId="0" borderId="1" xfId="0" applyNumberFormat="1" applyFont="1" applyBorder="1"/>
    <xf numFmtId="0" fontId="50" fillId="0" borderId="0" xfId="0" applyFont="1" applyAlignment="1"/>
    <xf numFmtId="0" fontId="30" fillId="5" borderId="1" xfId="0" applyFont="1" applyFill="1" applyBorder="1"/>
    <xf numFmtId="9" fontId="56" fillId="7" borderId="1" xfId="0" applyNumberFormat="1" applyFont="1" applyFill="1" applyBorder="1"/>
    <xf numFmtId="170" fontId="56" fillId="7" borderId="1" xfId="0" applyNumberFormat="1" applyFont="1" applyFill="1" applyBorder="1"/>
    <xf numFmtId="0" fontId="55" fillId="0" borderId="0" xfId="0" applyFont="1" applyAlignment="1"/>
    <xf numFmtId="171" fontId="28" fillId="6" borderId="1" xfId="0" applyNumberFormat="1" applyFont="1" applyFill="1" applyBorder="1"/>
    <xf numFmtId="0" fontId="43" fillId="2" borderId="1" xfId="0" applyFont="1" applyFill="1" applyBorder="1" applyAlignment="1">
      <alignment vertical="center" wrapText="1"/>
    </xf>
    <xf numFmtId="0" fontId="43" fillId="2" borderId="1" xfId="0" applyFont="1" applyFill="1" applyBorder="1" applyAlignment="1">
      <alignment horizontal="center" vertical="center" wrapText="1"/>
    </xf>
    <xf numFmtId="0" fontId="44" fillId="0" borderId="1" xfId="0" applyFont="1" applyBorder="1" applyAlignment="1">
      <alignment horizontal="right" vertical="center" wrapText="1"/>
    </xf>
    <xf numFmtId="0" fontId="44" fillId="0" borderId="1" xfId="0" applyFont="1" applyBorder="1" applyAlignment="1">
      <alignment vertical="center" wrapText="1"/>
    </xf>
    <xf numFmtId="167" fontId="44" fillId="0" borderId="1" xfId="3" applyNumberFormat="1" applyFont="1" applyFill="1" applyBorder="1" applyAlignment="1">
      <alignment horizontal="right" vertical="center" wrapText="1"/>
    </xf>
    <xf numFmtId="167" fontId="57" fillId="0" borderId="1" xfId="3" applyNumberFormat="1" applyFont="1" applyBorder="1" applyAlignment="1">
      <alignment horizontal="right" vertical="center" wrapText="1"/>
    </xf>
    <xf numFmtId="0" fontId="43" fillId="2" borderId="22" xfId="0" applyFont="1" applyFill="1" applyBorder="1" applyAlignment="1">
      <alignment horizontal="center" vertical="center" wrapText="1"/>
    </xf>
    <xf numFmtId="169" fontId="44" fillId="0" borderId="1" xfId="2" applyNumberFormat="1" applyFont="1" applyBorder="1" applyAlignment="1">
      <alignment vertical="center" wrapText="1"/>
    </xf>
    <xf numFmtId="9" fontId="58" fillId="7" borderId="1" xfId="0" applyNumberFormat="1" applyFont="1" applyFill="1" applyBorder="1"/>
    <xf numFmtId="169" fontId="58" fillId="0" borderId="1" xfId="0" applyNumberFormat="1" applyFont="1" applyBorder="1"/>
    <xf numFmtId="0" fontId="58" fillId="0" borderId="1" xfId="0" applyFont="1" applyBorder="1"/>
    <xf numFmtId="169" fontId="57" fillId="0" borderId="1" xfId="2" applyNumberFormat="1" applyFont="1" applyBorder="1" applyAlignment="1">
      <alignment horizontal="center" vertical="center" wrapText="1"/>
    </xf>
    <xf numFmtId="0" fontId="43" fillId="5" borderId="1" xfId="0" applyFont="1" applyFill="1" applyBorder="1" applyAlignment="1">
      <alignment vertical="center" wrapText="1"/>
    </xf>
    <xf numFmtId="0" fontId="43" fillId="5" borderId="1" xfId="0" applyFont="1" applyFill="1" applyBorder="1" applyAlignment="1">
      <alignment vertical="center"/>
    </xf>
    <xf numFmtId="0" fontId="43" fillId="5" borderId="1" xfId="0" applyFont="1" applyFill="1" applyBorder="1" applyAlignment="1">
      <alignment horizontal="center" vertical="center"/>
    </xf>
    <xf numFmtId="0" fontId="43" fillId="5" borderId="1" xfId="0" applyFont="1" applyFill="1" applyBorder="1" applyAlignment="1">
      <alignment horizontal="center" vertical="center" wrapText="1"/>
    </xf>
    <xf numFmtId="0" fontId="44" fillId="0" borderId="1" xfId="0" applyFont="1" applyBorder="1" applyAlignment="1">
      <alignment horizontal="center" vertical="center" wrapText="1"/>
    </xf>
    <xf numFmtId="10" fontId="44" fillId="0" borderId="1" xfId="0" applyNumberFormat="1" applyFont="1" applyBorder="1" applyAlignment="1">
      <alignment horizontal="center" vertical="center" wrapText="1"/>
    </xf>
    <xf numFmtId="10" fontId="44" fillId="0" borderId="1" xfId="1" applyNumberFormat="1" applyFont="1" applyBorder="1" applyAlignment="1">
      <alignment horizontal="center" vertical="center" wrapText="1"/>
    </xf>
    <xf numFmtId="3" fontId="44" fillId="0" borderId="1" xfId="0" applyNumberFormat="1" applyFont="1" applyBorder="1" applyAlignment="1">
      <alignment horizontal="center" vertical="center" wrapText="1"/>
    </xf>
    <xf numFmtId="2" fontId="44" fillId="0" borderId="1" xfId="0" applyNumberFormat="1"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center" vertical="center" wrapText="1"/>
    </xf>
    <xf numFmtId="0" fontId="44" fillId="0" borderId="1" xfId="0" applyFont="1" applyFill="1" applyBorder="1" applyAlignment="1">
      <alignment horizontal="left" vertical="center" wrapText="1"/>
    </xf>
    <xf numFmtId="0" fontId="29" fillId="0" borderId="1" xfId="0" applyFont="1" applyFill="1" applyBorder="1" applyAlignment="1">
      <alignment horizontal="left" vertical="center" wrapText="1"/>
    </xf>
    <xf numFmtId="0" fontId="29" fillId="0" borderId="1" xfId="0" applyFont="1" applyFill="1" applyBorder="1" applyAlignment="1">
      <alignment horizontal="center" vertical="center" wrapText="1"/>
    </xf>
    <xf numFmtId="166" fontId="29" fillId="0" borderId="1" xfId="3" applyFont="1" applyFill="1" applyBorder="1" applyAlignment="1">
      <alignment horizontal="right" vertical="center" wrapText="1"/>
    </xf>
    <xf numFmtId="0" fontId="0" fillId="0" borderId="0" xfId="0" applyAlignment="1">
      <alignment vertical="center" wrapText="1"/>
    </xf>
    <xf numFmtId="0" fontId="2" fillId="0" borderId="1" xfId="0" applyFont="1" applyBorder="1" applyAlignment="1">
      <alignment vertical="center" wrapText="1"/>
    </xf>
    <xf numFmtId="0" fontId="0" fillId="0" borderId="1" xfId="0" applyBorder="1" applyAlignment="1">
      <alignment vertical="center" wrapText="1"/>
    </xf>
    <xf numFmtId="0" fontId="0" fillId="0" borderId="2" xfId="0" applyFill="1" applyBorder="1" applyAlignment="1">
      <alignment vertical="center" wrapText="1"/>
    </xf>
    <xf numFmtId="0" fontId="0" fillId="6" borderId="16" xfId="0" applyFill="1" applyBorder="1" applyAlignment="1">
      <alignment vertical="center" wrapText="1"/>
    </xf>
    <xf numFmtId="0" fontId="0" fillId="7" borderId="16" xfId="0" applyFill="1" applyBorder="1" applyAlignment="1">
      <alignment vertical="center" wrapText="1"/>
    </xf>
    <xf numFmtId="0" fontId="60" fillId="5" borderId="11" xfId="0" applyFont="1" applyFill="1" applyBorder="1" applyAlignment="1">
      <alignment horizontal="center"/>
    </xf>
    <xf numFmtId="0" fontId="0" fillId="0" borderId="1" xfId="0" applyNumberFormat="1" applyFill="1" applyBorder="1"/>
    <xf numFmtId="9" fontId="44" fillId="7" borderId="1" xfId="3" applyNumberFormat="1" applyFont="1" applyFill="1" applyBorder="1" applyAlignment="1">
      <alignment horizontal="right" vertical="center" wrapText="1"/>
    </xf>
    <xf numFmtId="0" fontId="0" fillId="0" borderId="0" xfId="0" applyFill="1" applyAlignment="1">
      <alignment vertical="center" wrapText="1"/>
    </xf>
    <xf numFmtId="0" fontId="2" fillId="11" borderId="1" xfId="0" applyFont="1" applyFill="1" applyBorder="1" applyAlignment="1">
      <alignment vertical="center" wrapText="1"/>
    </xf>
    <xf numFmtId="0" fontId="64" fillId="0" borderId="1" xfId="0" applyFont="1" applyBorder="1" applyAlignment="1">
      <alignment vertical="center" wrapText="1"/>
    </xf>
    <xf numFmtId="0" fontId="2" fillId="11" borderId="2" xfId="0" applyFont="1" applyFill="1" applyBorder="1" applyAlignment="1">
      <alignment vertical="center" wrapText="1"/>
    </xf>
    <xf numFmtId="0" fontId="0" fillId="0" borderId="1" xfId="0" applyBorder="1" applyAlignment="1">
      <alignment horizontal="center" vertical="center" wrapText="1"/>
    </xf>
    <xf numFmtId="9" fontId="44" fillId="0" borderId="1" xfId="3" applyNumberFormat="1" applyFont="1" applyFill="1" applyBorder="1" applyAlignment="1">
      <alignment horizontal="right" vertical="center" wrapText="1"/>
    </xf>
    <xf numFmtId="0" fontId="42" fillId="6" borderId="1" xfId="0" applyFont="1" applyFill="1" applyBorder="1" applyAlignment="1">
      <alignment horizontal="center" vertical="center" wrapText="1"/>
    </xf>
    <xf numFmtId="43" fontId="0" fillId="0" borderId="0" xfId="0" applyNumberFormat="1"/>
    <xf numFmtId="43" fontId="27" fillId="0" borderId="1" xfId="2" applyNumberFormat="1" applyFont="1" applyBorder="1"/>
    <xf numFmtId="43" fontId="27" fillId="0" borderId="1" xfId="0" applyNumberFormat="1" applyFont="1" applyBorder="1"/>
    <xf numFmtId="0" fontId="9" fillId="0" borderId="0" xfId="0" applyFont="1" applyAlignment="1">
      <alignment horizontal="left" vertical="center" wrapText="1"/>
    </xf>
    <xf numFmtId="0" fontId="65" fillId="0" borderId="13" xfId="0" applyFont="1" applyBorder="1" applyAlignment="1">
      <alignment horizontal="center" vertical="center" wrapText="1"/>
    </xf>
    <xf numFmtId="0" fontId="61" fillId="8" borderId="1" xfId="0" applyFont="1" applyFill="1" applyBorder="1" applyAlignment="1">
      <alignment horizontal="center" vertical="center" wrapText="1"/>
    </xf>
    <xf numFmtId="0" fontId="59" fillId="10" borderId="1" xfId="0" applyFont="1" applyFill="1" applyBorder="1" applyAlignment="1">
      <alignment horizontal="left" vertical="center" wrapText="1"/>
    </xf>
    <xf numFmtId="0" fontId="0" fillId="0" borderId="1" xfId="0" applyBorder="1" applyAlignment="1">
      <alignment horizontal="left" vertical="center" wrapText="1"/>
    </xf>
    <xf numFmtId="0" fontId="2" fillId="0" borderId="1" xfId="0" applyFont="1" applyBorder="1" applyAlignment="1">
      <alignment horizontal="left" vertical="center" wrapText="1"/>
    </xf>
    <xf numFmtId="0" fontId="0" fillId="0" borderId="21"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20" xfId="0" applyBorder="1" applyAlignment="1">
      <alignment horizontal="left" vertical="center" wrapText="1"/>
    </xf>
    <xf numFmtId="0" fontId="0" fillId="0" borderId="2" xfId="0" applyBorder="1"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21" xfId="0" applyBorder="1" applyAlignment="1">
      <alignment horizontal="left" vertical="center" wrapText="1"/>
    </xf>
    <xf numFmtId="0" fontId="0" fillId="0" borderId="16" xfId="0" applyBorder="1" applyAlignment="1">
      <alignment horizontal="left" vertical="center" wrapText="1"/>
    </xf>
    <xf numFmtId="0" fontId="59" fillId="9" borderId="1" xfId="0" applyFont="1" applyFill="1" applyBorder="1" applyAlignment="1">
      <alignment horizontal="left" vertical="center" wrapText="1"/>
    </xf>
    <xf numFmtId="0" fontId="2" fillId="0" borderId="15" xfId="0" applyFont="1" applyBorder="1" applyAlignment="1">
      <alignment horizontal="left" vertical="center" wrapText="1"/>
    </xf>
    <xf numFmtId="0" fontId="2" fillId="0" borderId="21" xfId="0" applyFont="1" applyBorder="1" applyAlignment="1">
      <alignment horizontal="left" vertical="center" wrapText="1"/>
    </xf>
    <xf numFmtId="0" fontId="2" fillId="0" borderId="16" xfId="0" applyFont="1" applyBorder="1" applyAlignment="1">
      <alignment horizontal="left" vertical="center" wrapText="1"/>
    </xf>
    <xf numFmtId="0" fontId="43" fillId="5" borderId="12" xfId="0" applyFont="1" applyFill="1" applyBorder="1" applyAlignment="1">
      <alignment horizontal="center" vertical="center" wrapText="1"/>
    </xf>
    <xf numFmtId="0" fontId="43" fillId="5" borderId="13" xfId="0" applyFont="1" applyFill="1" applyBorder="1" applyAlignment="1">
      <alignment horizontal="center" vertical="center" wrapText="1"/>
    </xf>
    <xf numFmtId="0" fontId="26" fillId="0" borderId="0" xfId="0" applyFont="1" applyBorder="1" applyAlignment="1">
      <alignment horizontal="center"/>
    </xf>
    <xf numFmtId="0" fontId="57" fillId="0" borderId="1" xfId="0" applyFont="1" applyBorder="1" applyAlignment="1">
      <alignment horizontal="center" vertical="center" wrapText="1"/>
    </xf>
    <xf numFmtId="0" fontId="26" fillId="0" borderId="0" xfId="0" applyFont="1" applyAlignment="1">
      <alignment horizontal="center"/>
    </xf>
    <xf numFmtId="0" fontId="2" fillId="0" borderId="0" xfId="0" applyFont="1" applyAlignment="1">
      <alignment horizontal="center"/>
    </xf>
    <xf numFmtId="0" fontId="49" fillId="0" borderId="0" xfId="0" applyFont="1" applyAlignment="1">
      <alignment horizont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51" fillId="0" borderId="0" xfId="0" applyFont="1" applyAlignment="1">
      <alignment horizontal="center" wrapText="1"/>
    </xf>
    <xf numFmtId="0" fontId="42" fillId="6" borderId="1" xfId="0" applyFont="1" applyFill="1" applyBorder="1" applyAlignment="1">
      <alignment horizontal="center" vertical="center" wrapText="1"/>
    </xf>
    <xf numFmtId="0" fontId="42" fillId="0" borderId="1" xfId="0" applyFont="1" applyBorder="1" applyAlignment="1">
      <alignment horizontal="center" vertical="center" wrapText="1"/>
    </xf>
    <xf numFmtId="0" fontId="2" fillId="7" borderId="0" xfId="0" applyFont="1" applyFill="1" applyAlignment="1">
      <alignment horizontal="center"/>
    </xf>
    <xf numFmtId="0" fontId="13"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37" fillId="0" borderId="0" xfId="6" applyFont="1" applyFill="1" applyBorder="1" applyAlignment="1">
      <alignment horizontal="center"/>
    </xf>
    <xf numFmtId="0" fontId="14" fillId="0" borderId="0" xfId="0" applyFont="1" applyAlignment="1">
      <alignment horizontal="center" vertical="center" wrapText="1"/>
    </xf>
    <xf numFmtId="0" fontId="15" fillId="0" borderId="0" xfId="6" applyFont="1" applyFill="1" applyBorder="1" applyAlignment="1">
      <alignment horizontal="center"/>
    </xf>
    <xf numFmtId="0" fontId="28" fillId="0" borderId="13" xfId="0" applyFont="1" applyBorder="1" applyAlignment="1">
      <alignment horizontal="center"/>
    </xf>
    <xf numFmtId="0" fontId="2" fillId="0" borderId="13" xfId="0" applyFont="1" applyBorder="1" applyAlignment="1">
      <alignment horizontal="center"/>
    </xf>
    <xf numFmtId="0" fontId="26" fillId="0" borderId="19" xfId="0" applyFont="1" applyBorder="1" applyAlignment="1">
      <alignment horizontal="center"/>
    </xf>
    <xf numFmtId="0" fontId="2" fillId="0" borderId="0" xfId="0" applyFont="1" applyAlignment="1">
      <alignment horizontal="center" wrapText="1"/>
    </xf>
    <xf numFmtId="0" fontId="30" fillId="6" borderId="13" xfId="0" applyFont="1" applyFill="1" applyBorder="1" applyAlignment="1">
      <alignment horizontal="center"/>
    </xf>
    <xf numFmtId="0" fontId="30" fillId="6" borderId="0" xfId="0" applyFont="1" applyFill="1" applyAlignment="1">
      <alignment horizontal="center"/>
    </xf>
    <xf numFmtId="0" fontId="48" fillId="0" borderId="0" xfId="0" applyFont="1" applyAlignment="1">
      <alignment horizontal="center" wrapText="1"/>
    </xf>
    <xf numFmtId="0" fontId="47" fillId="0" borderId="0" xfId="0" applyFont="1" applyAlignment="1">
      <alignment horizontal="center" wrapText="1"/>
    </xf>
    <xf numFmtId="0" fontId="40" fillId="2" borderId="1" xfId="0" applyFont="1" applyFill="1" applyBorder="1" applyAlignment="1">
      <alignment horizontal="center" vertical="center" wrapText="1"/>
    </xf>
    <xf numFmtId="0" fontId="42" fillId="0" borderId="15" xfId="0" applyFont="1" applyFill="1" applyBorder="1" applyAlignment="1">
      <alignment horizontal="center" vertical="center" wrapText="1"/>
    </xf>
    <xf numFmtId="0" fontId="42" fillId="0" borderId="16" xfId="0" applyFont="1" applyFill="1" applyBorder="1" applyAlignment="1">
      <alignment horizontal="center" vertical="center" wrapText="1"/>
    </xf>
    <xf numFmtId="0" fontId="40" fillId="2" borderId="2" xfId="0" applyFont="1" applyFill="1" applyBorder="1" applyAlignment="1">
      <alignment horizontal="center" vertical="center" wrapText="1"/>
    </xf>
    <xf numFmtId="0" fontId="40" fillId="2" borderId="14"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3" xfId="0" applyFont="1" applyFill="1" applyBorder="1" applyAlignment="1">
      <alignment horizontal="center" vertical="center" wrapText="1"/>
    </xf>
    <xf numFmtId="0" fontId="46" fillId="0" borderId="0" xfId="0" applyFont="1" applyAlignment="1">
      <alignment horizontal="center" wrapText="1"/>
    </xf>
    <xf numFmtId="0" fontId="26" fillId="0" borderId="17" xfId="0" applyFont="1" applyBorder="1" applyAlignment="1">
      <alignment horizontal="center"/>
    </xf>
    <xf numFmtId="0" fontId="6" fillId="0" borderId="1" xfId="0" applyFont="1" applyFill="1" applyBorder="1" applyAlignment="1">
      <alignment horizontal="center" wrapText="1"/>
    </xf>
    <xf numFmtId="0" fontId="13" fillId="0" borderId="0" xfId="0" applyFont="1" applyAlignment="1">
      <alignment horizontal="center" wrapText="1"/>
    </xf>
    <xf numFmtId="0" fontId="55" fillId="0" borderId="0" xfId="0" applyFont="1" applyAlignment="1">
      <alignment horizontal="center" wrapText="1"/>
    </xf>
    <xf numFmtId="0" fontId="25" fillId="0" borderId="12" xfId="0" applyFont="1" applyFill="1" applyBorder="1" applyAlignment="1">
      <alignment horizontal="center"/>
    </xf>
    <xf numFmtId="0" fontId="25" fillId="0" borderId="13" xfId="0" applyFont="1" applyFill="1" applyBorder="1" applyAlignment="1">
      <alignment horizontal="center"/>
    </xf>
    <xf numFmtId="0" fontId="9" fillId="0" borderId="0" xfId="0" applyFont="1" applyAlignment="1">
      <alignment horizontal="center"/>
    </xf>
    <xf numFmtId="4" fontId="4" fillId="0" borderId="1" xfId="0" applyNumberFormat="1" applyFont="1" applyBorder="1" applyAlignment="1">
      <alignment horizontal="center"/>
    </xf>
    <xf numFmtId="4" fontId="4" fillId="0" borderId="0" xfId="0" applyNumberFormat="1" applyFont="1" applyBorder="1" applyAlignment="1">
      <alignment horizontal="center"/>
    </xf>
    <xf numFmtId="0" fontId="51" fillId="0" borderId="0" xfId="0" applyFont="1" applyAlignment="1">
      <alignment horizontal="center"/>
    </xf>
    <xf numFmtId="2" fontId="27" fillId="0" borderId="1" xfId="2" applyNumberFormat="1" applyFont="1" applyBorder="1" applyAlignment="1">
      <alignment horizontal="center"/>
    </xf>
    <xf numFmtId="10" fontId="28" fillId="0" borderId="1" xfId="1" applyNumberFormat="1" applyFont="1" applyBorder="1" applyAlignment="1">
      <alignment horizontal="center"/>
    </xf>
    <xf numFmtId="0" fontId="25" fillId="0" borderId="0" xfId="0" applyFont="1" applyAlignment="1">
      <alignment horizontal="center"/>
    </xf>
    <xf numFmtId="0" fontId="54" fillId="0" borderId="0" xfId="8" applyFont="1" applyAlignment="1" applyProtection="1">
      <alignment horizontal="center" wrapText="1"/>
    </xf>
    <xf numFmtId="0" fontId="53" fillId="0" borderId="0" xfId="0" applyFont="1" applyAlignment="1">
      <alignment horizontal="center" wrapText="1"/>
    </xf>
    <xf numFmtId="0" fontId="26" fillId="0" borderId="13" xfId="0" applyFont="1" applyBorder="1" applyAlignment="1">
      <alignment horizontal="center"/>
    </xf>
    <xf numFmtId="0" fontId="56" fillId="5" borderId="20" xfId="0" applyFont="1" applyFill="1" applyBorder="1" applyAlignment="1">
      <alignment horizontal="left" vertical="center"/>
    </xf>
    <xf numFmtId="0" fontId="56" fillId="5" borderId="14" xfId="0" applyFont="1" applyFill="1" applyBorder="1" applyAlignment="1">
      <alignment horizontal="left" vertical="center"/>
    </xf>
    <xf numFmtId="0" fontId="0" fillId="0" borderId="0" xfId="0" applyAlignment="1">
      <alignment horizontal="center"/>
    </xf>
    <xf numFmtId="0" fontId="0" fillId="0" borderId="20" xfId="0" applyBorder="1" applyAlignment="1">
      <alignment horizontal="center" vertical="center"/>
    </xf>
    <xf numFmtId="0" fontId="0" fillId="0" borderId="2" xfId="0" applyBorder="1" applyAlignment="1">
      <alignment horizontal="center" vertical="center"/>
    </xf>
    <xf numFmtId="0" fontId="0" fillId="0" borderId="14" xfId="0" applyBorder="1" applyAlignment="1">
      <alignment horizontal="center" vertical="center"/>
    </xf>
    <xf numFmtId="0" fontId="26" fillId="0" borderId="15" xfId="0" applyFont="1" applyBorder="1" applyAlignment="1">
      <alignment horizontal="center"/>
    </xf>
    <xf numFmtId="0" fontId="26" fillId="0" borderId="21" xfId="0" applyFont="1" applyBorder="1" applyAlignment="1">
      <alignment horizontal="center"/>
    </xf>
    <xf numFmtId="0" fontId="26" fillId="0" borderId="16" xfId="0" applyFont="1" applyBorder="1" applyAlignment="1">
      <alignment horizontal="center"/>
    </xf>
    <xf numFmtId="0" fontId="52" fillId="5" borderId="20" xfId="0" applyFont="1" applyFill="1" applyBorder="1" applyAlignment="1">
      <alignment vertical="center"/>
    </xf>
    <xf numFmtId="0" fontId="52" fillId="5" borderId="14" xfId="0" applyFont="1" applyFill="1" applyBorder="1" applyAlignment="1">
      <alignment vertical="center"/>
    </xf>
    <xf numFmtId="0" fontId="37" fillId="0" borderId="15" xfId="0" applyFont="1" applyFill="1" applyBorder="1" applyAlignment="1">
      <alignment horizontal="center"/>
    </xf>
    <xf numFmtId="0" fontId="37" fillId="0" borderId="21" xfId="0" applyFont="1" applyFill="1" applyBorder="1" applyAlignment="1">
      <alignment horizontal="center"/>
    </xf>
    <xf numFmtId="0" fontId="37" fillId="0" borderId="16" xfId="0" applyFont="1" applyFill="1" applyBorder="1" applyAlignment="1">
      <alignment horizontal="center"/>
    </xf>
    <xf numFmtId="0" fontId="52" fillId="5" borderId="20" xfId="0" applyFont="1" applyFill="1" applyBorder="1" applyAlignment="1">
      <alignment horizontal="left" vertical="center"/>
    </xf>
    <xf numFmtId="0" fontId="52" fillId="5" borderId="14" xfId="0" applyFont="1" applyFill="1" applyBorder="1" applyAlignment="1">
      <alignment horizontal="left" vertical="center"/>
    </xf>
    <xf numFmtId="0" fontId="15" fillId="0" borderId="15" xfId="0" applyFont="1" applyFill="1" applyBorder="1" applyAlignment="1">
      <alignment horizontal="center"/>
    </xf>
    <xf numFmtId="0" fontId="15" fillId="0" borderId="21" xfId="0" applyFont="1" applyFill="1" applyBorder="1" applyAlignment="1">
      <alignment horizontal="center"/>
    </xf>
    <xf numFmtId="0" fontId="15" fillId="0" borderId="16" xfId="0" applyFont="1" applyFill="1" applyBorder="1" applyAlignment="1">
      <alignment horizontal="center"/>
    </xf>
    <xf numFmtId="0" fontId="2" fillId="0" borderId="1" xfId="0" applyFont="1" applyBorder="1" applyAlignment="1">
      <alignment horizontal="center" vertical="center" wrapText="1"/>
    </xf>
    <xf numFmtId="0" fontId="26" fillId="0" borderId="0" xfId="0" applyFont="1" applyFill="1" applyBorder="1" applyAlignment="1">
      <alignment horizontal="center"/>
    </xf>
  </cellXfs>
  <cellStyles count="11">
    <cellStyle name="Comma" xfId="2" builtinId="3"/>
    <cellStyle name="Comma 2" xfId="3"/>
    <cellStyle name="Comma 2 2" xfId="10"/>
    <cellStyle name="Comma 3" xfId="4"/>
    <cellStyle name="Currency 2" xfId="5"/>
    <cellStyle name="Currency 3" xfId="9"/>
    <cellStyle name="Hyperlink" xfId="8" builtinId="8"/>
    <cellStyle name="Normal" xfId="0" builtinId="0"/>
    <cellStyle name="Normal 3" xfId="6"/>
    <cellStyle name="Percent" xfId="1" builtinId="5"/>
    <cellStyle name="Percent 2" xfId="7"/>
  </cellStyles>
  <dxfs count="4">
    <dxf>
      <font>
        <color rgb="FFFF0000"/>
      </font>
    </dxf>
    <dxf>
      <font>
        <color rgb="FFFF0000"/>
      </font>
    </dxf>
    <dxf>
      <font>
        <color rgb="FFFF0000"/>
      </font>
    </dxf>
    <dxf>
      <font>
        <color rgb="FF9C0006"/>
      </font>
      <fill>
        <patternFill>
          <bgColor rgb="FFFFC7CE"/>
        </patternFill>
      </fill>
    </dxf>
  </dxfs>
  <tableStyles count="0" defaultTableStyle="TableStyleMedium9" defaultPivotStyle="PivotStyleLight16"/>
  <colors>
    <mruColors>
      <color rgb="FF33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Nikhil\Desktop\VISHVJEET\Chaskarji\Dharti%20FPC\Dharti%20FP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Nikhil\Desktop\VISHVJEET\Chaskarji\Water\kRUSHIYUG\Krushiyug%20FP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Land and Building"/>
      <sheetName val="Machinery and Equipment"/>
      <sheetName val="Total Cost of Project"/>
      <sheetName val="Means of Finance"/>
      <sheetName val="Working Capital"/>
      <sheetName val="Operational Expenses"/>
      <sheetName val="Revenue Schedule"/>
      <sheetName val="Depreciation"/>
      <sheetName val="Term Loan"/>
      <sheetName val="Tax"/>
      <sheetName val="P&amp;L"/>
      <sheetName val="Cash Flow"/>
      <sheetName val="Balance Sheet"/>
      <sheetName val="Financial Indicators"/>
      <sheetName val="Output"/>
    </sheetNames>
    <sheetDataSet>
      <sheetData sheetId="0" refreshError="1"/>
      <sheetData sheetId="1" refreshError="1"/>
      <sheetData sheetId="2" refreshError="1"/>
      <sheetData sheetId="3" refreshError="1">
        <row r="3">
          <cell r="C3" t="str">
            <v>Land and Building</v>
          </cell>
        </row>
        <row r="4">
          <cell r="C4" t="str">
            <v>Machinery and Equipment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nd and Building"/>
      <sheetName val="Machinery and Equipment"/>
      <sheetName val="P&amp;P Expenses"/>
      <sheetName val="Working Capital"/>
      <sheetName val="Total Cost of Project"/>
      <sheetName val="Means of Finance"/>
      <sheetName val="Project Glance"/>
      <sheetName val="TL repayment sch"/>
      <sheetName val="Activity  4 Dal Mill"/>
      <sheetName val="Activity 7  Neem Oil and Pwder"/>
      <sheetName val="Activity 3"/>
      <sheetName val="Activity 3 C &amp; G"/>
      <sheetName val="Activity 6 Wooden Oil Extractio"/>
      <sheetName val="Activity 8 Custom Hiring"/>
      <sheetName val="Activity 2 Vegetable "/>
      <sheetName val="Activity 1 Agri Input"/>
      <sheetName val="Cons Profit &amp; Loss"/>
      <sheetName val="Admin Exp"/>
      <sheetName val="IRR"/>
      <sheetName val="BEP"/>
      <sheetName val="NPV"/>
      <sheetName val="ROI"/>
      <sheetName val="Output"/>
      <sheetName val="Sheet1"/>
      <sheetName val="Depreciation"/>
      <sheetName val="Tax"/>
      <sheetName val="Cash Flow (2)"/>
      <sheetName val="Balance Sheet"/>
      <sheetName val="Financial Indicator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51">
          <cell r="B51" t="str">
            <v>Output (Ltrs/KG)</v>
          </cell>
        </row>
      </sheetData>
      <sheetData sheetId="23" refreshError="1"/>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www.investopedia.com/terms/d/discountrate.asp" TargetMode="Externa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Views>
    <sheetView view="pageBreakPreview" zoomScale="60" workbookViewId="0">
      <selection sqref="A1:E1"/>
    </sheetView>
  </sheetViews>
  <sheetFormatPr defaultColWidth="9.140625" defaultRowHeight="15"/>
  <cols>
    <col min="1" max="1" width="12.85546875" style="376" customWidth="1"/>
    <col min="2" max="2" width="56" style="376" customWidth="1"/>
    <col min="3" max="3" width="26.28515625" style="376" customWidth="1"/>
    <col min="4" max="4" width="20.7109375" style="376" customWidth="1"/>
    <col min="5" max="5" width="29.42578125" style="376" customWidth="1"/>
    <col min="6" max="16384" width="9.140625" style="376"/>
  </cols>
  <sheetData>
    <row r="1" spans="1:5" ht="26.25" customHeight="1">
      <c r="A1" s="396" t="s">
        <v>658</v>
      </c>
      <c r="B1" s="396"/>
      <c r="C1" s="396"/>
      <c r="D1" s="396"/>
      <c r="E1" s="396"/>
    </row>
    <row r="2" spans="1:5" ht="26.25" customHeight="1">
      <c r="A2" s="397" t="s">
        <v>654</v>
      </c>
      <c r="B2" s="397"/>
      <c r="C2" s="397"/>
      <c r="D2" s="397"/>
      <c r="E2" s="397"/>
    </row>
    <row r="3" spans="1:5" ht="23.25" customHeight="1">
      <c r="A3" s="398" t="s">
        <v>625</v>
      </c>
      <c r="B3" s="398"/>
      <c r="C3" s="398"/>
      <c r="D3" s="398"/>
      <c r="E3" s="398"/>
    </row>
    <row r="4" spans="1:5" ht="240.75" customHeight="1">
      <c r="A4" s="399" t="s">
        <v>659</v>
      </c>
      <c r="B4" s="399"/>
      <c r="C4" s="399"/>
      <c r="D4" s="399"/>
      <c r="E4" s="399"/>
    </row>
    <row r="5" spans="1:5" ht="23.25" customHeight="1">
      <c r="A5" s="398" t="s">
        <v>626</v>
      </c>
      <c r="B5" s="398"/>
      <c r="C5" s="398"/>
      <c r="D5" s="398"/>
      <c r="E5" s="398"/>
    </row>
    <row r="6" spans="1:5" ht="108" customHeight="1">
      <c r="A6" s="406" t="s">
        <v>697</v>
      </c>
      <c r="B6" s="407"/>
      <c r="C6" s="407"/>
      <c r="D6" s="407"/>
      <c r="E6" s="408"/>
    </row>
    <row r="7" spans="1:5" ht="23.25" customHeight="1">
      <c r="A7" s="409" t="s">
        <v>660</v>
      </c>
      <c r="B7" s="409"/>
      <c r="C7" s="409"/>
      <c r="D7" s="409"/>
      <c r="E7" s="409"/>
    </row>
    <row r="8" spans="1:5" ht="125.25" customHeight="1">
      <c r="A8" s="399" t="s">
        <v>696</v>
      </c>
      <c r="B8" s="399"/>
      <c r="C8" s="399"/>
      <c r="D8" s="399"/>
      <c r="E8" s="399"/>
    </row>
    <row r="9" spans="1:5" ht="23.25">
      <c r="A9" s="398" t="s">
        <v>651</v>
      </c>
      <c r="B9" s="398"/>
      <c r="C9" s="398"/>
      <c r="D9" s="398"/>
      <c r="E9" s="398"/>
    </row>
    <row r="10" spans="1:5">
      <c r="A10" s="376" t="s">
        <v>627</v>
      </c>
      <c r="B10" s="376" t="s">
        <v>152</v>
      </c>
    </row>
    <row r="11" spans="1:5" ht="20.25" customHeight="1">
      <c r="A11" s="380"/>
      <c r="B11" s="410" t="s">
        <v>414</v>
      </c>
      <c r="C11" s="411"/>
      <c r="D11" s="411"/>
      <c r="E11" s="412"/>
    </row>
    <row r="12" spans="1:5">
      <c r="A12" s="381"/>
      <c r="B12" s="400" t="s">
        <v>415</v>
      </c>
      <c r="C12" s="400"/>
      <c r="D12" s="400"/>
      <c r="E12" s="400"/>
    </row>
    <row r="13" spans="1:5" s="385" customFormat="1">
      <c r="A13" s="401"/>
      <c r="B13" s="401"/>
      <c r="C13" s="401"/>
      <c r="D13" s="401"/>
      <c r="E13" s="402"/>
    </row>
    <row r="14" spans="1:5" ht="23.25">
      <c r="A14" s="398" t="s">
        <v>652</v>
      </c>
      <c r="B14" s="398"/>
      <c r="C14" s="398"/>
      <c r="D14" s="398"/>
      <c r="E14" s="398"/>
    </row>
    <row r="15" spans="1:5">
      <c r="A15" s="377" t="s">
        <v>623</v>
      </c>
      <c r="B15" s="377" t="s">
        <v>661</v>
      </c>
      <c r="C15" s="377" t="s">
        <v>461</v>
      </c>
      <c r="D15" s="377" t="s">
        <v>631</v>
      </c>
      <c r="E15" s="377" t="s">
        <v>624</v>
      </c>
    </row>
    <row r="16" spans="1:5">
      <c r="A16" s="386" t="s">
        <v>175</v>
      </c>
      <c r="B16" s="386" t="s">
        <v>662</v>
      </c>
      <c r="C16" s="386"/>
      <c r="D16" s="386"/>
      <c r="E16" s="386"/>
    </row>
    <row r="17" spans="1:5" ht="60">
      <c r="A17" s="387" t="s">
        <v>641</v>
      </c>
      <c r="B17" s="378" t="s">
        <v>648</v>
      </c>
      <c r="C17" s="378" t="s">
        <v>693</v>
      </c>
      <c r="D17" s="378" t="s">
        <v>663</v>
      </c>
      <c r="E17" s="378"/>
    </row>
    <row r="18" spans="1:5" ht="90">
      <c r="A18" s="387" t="s">
        <v>642</v>
      </c>
      <c r="B18" s="378" t="s">
        <v>628</v>
      </c>
      <c r="C18" s="378" t="s">
        <v>694</v>
      </c>
      <c r="D18" s="378" t="s">
        <v>664</v>
      </c>
      <c r="E18" s="378"/>
    </row>
    <row r="19" spans="1:5" ht="26.25" customHeight="1">
      <c r="A19" s="387" t="s">
        <v>643</v>
      </c>
      <c r="B19" s="379" t="s">
        <v>655</v>
      </c>
      <c r="C19" s="378" t="s">
        <v>665</v>
      </c>
      <c r="D19" s="378" t="s">
        <v>666</v>
      </c>
      <c r="E19" s="378" t="s">
        <v>653</v>
      </c>
    </row>
    <row r="20" spans="1:5" ht="30">
      <c r="A20" s="387" t="s">
        <v>644</v>
      </c>
      <c r="B20" s="378" t="s">
        <v>695</v>
      </c>
      <c r="C20" s="378"/>
      <c r="D20" s="378"/>
      <c r="E20" s="378"/>
    </row>
    <row r="21" spans="1:5">
      <c r="A21" s="378">
        <v>4.0999999999999996</v>
      </c>
      <c r="B21" s="378" t="s">
        <v>635</v>
      </c>
      <c r="C21" s="403" t="s">
        <v>667</v>
      </c>
      <c r="D21" s="378" t="s">
        <v>668</v>
      </c>
      <c r="E21" s="378"/>
    </row>
    <row r="22" spans="1:5" ht="30">
      <c r="A22" s="378">
        <v>4.2</v>
      </c>
      <c r="B22" s="378" t="s">
        <v>639</v>
      </c>
      <c r="C22" s="404"/>
      <c r="D22" s="378" t="s">
        <v>669</v>
      </c>
      <c r="E22" s="378"/>
    </row>
    <row r="23" spans="1:5">
      <c r="A23" s="378">
        <v>4.3</v>
      </c>
      <c r="B23" s="378" t="s">
        <v>636</v>
      </c>
      <c r="C23" s="404"/>
      <c r="D23" s="378" t="s">
        <v>670</v>
      </c>
      <c r="E23" s="378"/>
    </row>
    <row r="24" spans="1:5">
      <c r="A24" s="378">
        <v>4.4000000000000004</v>
      </c>
      <c r="B24" s="378" t="s">
        <v>637</v>
      </c>
      <c r="C24" s="404"/>
      <c r="D24" s="378" t="s">
        <v>671</v>
      </c>
      <c r="E24" s="378"/>
    </row>
    <row r="25" spans="1:5">
      <c r="A25" s="378">
        <v>4.5</v>
      </c>
      <c r="B25" s="378" t="s">
        <v>638</v>
      </c>
      <c r="C25" s="404"/>
      <c r="D25" s="378" t="s">
        <v>672</v>
      </c>
      <c r="E25" s="378"/>
    </row>
    <row r="26" spans="1:5">
      <c r="A26" s="378">
        <v>4.5999999999999996</v>
      </c>
      <c r="B26" s="378" t="s">
        <v>640</v>
      </c>
      <c r="C26" s="405"/>
      <c r="D26" s="378" t="s">
        <v>673</v>
      </c>
      <c r="E26" s="378"/>
    </row>
    <row r="27" spans="1:5" ht="45">
      <c r="A27" s="387" t="s">
        <v>645</v>
      </c>
      <c r="B27" s="378" t="s">
        <v>629</v>
      </c>
      <c r="C27" s="378" t="s">
        <v>674</v>
      </c>
      <c r="D27" s="378" t="s">
        <v>699</v>
      </c>
      <c r="E27" s="378"/>
    </row>
    <row r="28" spans="1:5" ht="60">
      <c r="A28" s="387" t="s">
        <v>646</v>
      </c>
      <c r="B28" s="378" t="s">
        <v>675</v>
      </c>
      <c r="C28" s="378" t="s">
        <v>676</v>
      </c>
      <c r="D28" s="378" t="s">
        <v>677</v>
      </c>
      <c r="E28" s="378"/>
    </row>
    <row r="29" spans="1:5" ht="45">
      <c r="A29" s="387" t="s">
        <v>647</v>
      </c>
      <c r="B29" s="378" t="s">
        <v>630</v>
      </c>
      <c r="C29" s="378" t="s">
        <v>678</v>
      </c>
      <c r="D29" s="378" t="s">
        <v>679</v>
      </c>
      <c r="E29" s="378"/>
    </row>
    <row r="30" spans="1:5">
      <c r="A30" s="386" t="s">
        <v>176</v>
      </c>
      <c r="B30" s="388" t="s">
        <v>680</v>
      </c>
      <c r="C30" s="386"/>
      <c r="D30" s="386"/>
      <c r="E30" s="386"/>
    </row>
    <row r="31" spans="1:5" ht="26.25" customHeight="1">
      <c r="A31" s="389" t="s">
        <v>681</v>
      </c>
      <c r="B31" s="378" t="s">
        <v>632</v>
      </c>
      <c r="C31" s="378"/>
      <c r="D31" s="378" t="s">
        <v>682</v>
      </c>
      <c r="E31" s="378" t="s">
        <v>653</v>
      </c>
    </row>
    <row r="32" spans="1:5">
      <c r="A32" s="389" t="s">
        <v>683</v>
      </c>
      <c r="B32" s="378" t="s">
        <v>633</v>
      </c>
      <c r="C32" s="378"/>
      <c r="D32" s="378" t="s">
        <v>684</v>
      </c>
      <c r="E32" s="378" t="s">
        <v>653</v>
      </c>
    </row>
    <row r="33" spans="1:5">
      <c r="A33" s="389" t="s">
        <v>685</v>
      </c>
      <c r="B33" s="378" t="s">
        <v>634</v>
      </c>
      <c r="C33" s="378"/>
      <c r="D33" s="378" t="s">
        <v>686</v>
      </c>
      <c r="E33" s="378" t="s">
        <v>653</v>
      </c>
    </row>
    <row r="34" spans="1:5" ht="35.25" customHeight="1">
      <c r="A34" s="389" t="s">
        <v>687</v>
      </c>
      <c r="B34" s="378" t="s">
        <v>649</v>
      </c>
      <c r="C34" s="378"/>
      <c r="D34" s="378" t="s">
        <v>688</v>
      </c>
      <c r="E34" s="378" t="s">
        <v>653</v>
      </c>
    </row>
    <row r="35" spans="1:5" ht="35.25" customHeight="1">
      <c r="A35" s="389" t="s">
        <v>689</v>
      </c>
      <c r="B35" s="378" t="s">
        <v>690</v>
      </c>
      <c r="C35" s="378"/>
      <c r="D35" s="378" t="s">
        <v>698</v>
      </c>
      <c r="E35" s="378" t="s">
        <v>653</v>
      </c>
    </row>
    <row r="36" spans="1:5">
      <c r="A36" s="387" t="s">
        <v>691</v>
      </c>
      <c r="B36" s="378" t="s">
        <v>692</v>
      </c>
      <c r="C36" s="378"/>
      <c r="D36" s="378"/>
      <c r="E36" s="378"/>
    </row>
    <row r="37" spans="1:5" ht="21">
      <c r="A37" s="395"/>
      <c r="B37" s="395"/>
      <c r="C37" s="395"/>
      <c r="D37" s="395"/>
      <c r="E37" s="395"/>
    </row>
  </sheetData>
  <mergeCells count="15">
    <mergeCell ref="A37:E37"/>
    <mergeCell ref="A1:E1"/>
    <mergeCell ref="A2:E2"/>
    <mergeCell ref="A3:E3"/>
    <mergeCell ref="A4:E4"/>
    <mergeCell ref="A5:E5"/>
    <mergeCell ref="B12:E12"/>
    <mergeCell ref="A13:E13"/>
    <mergeCell ref="A14:E14"/>
    <mergeCell ref="C21:C26"/>
    <mergeCell ref="A6:E6"/>
    <mergeCell ref="A7:E7"/>
    <mergeCell ref="A8:E8"/>
    <mergeCell ref="A9:E9"/>
    <mergeCell ref="B11:E11"/>
  </mergeCells>
  <pageMargins left="0.7" right="0.7" top="0.75" bottom="0.75" header="0.3" footer="0.3"/>
  <pageSetup paperSize="9" scale="60" orientation="portrait" horizont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33"/>
  <sheetViews>
    <sheetView view="pageBreakPreview" topLeftCell="A13" zoomScaleSheetLayoutView="100" workbookViewId="0">
      <selection activeCell="B24" sqref="B24:F24"/>
    </sheetView>
  </sheetViews>
  <sheetFormatPr defaultRowHeight="15"/>
  <cols>
    <col min="2" max="2" width="7.5703125" bestFit="1" customWidth="1"/>
    <col min="3" max="3" width="26.28515625" bestFit="1" customWidth="1"/>
    <col min="4" max="4" width="15" customWidth="1"/>
    <col min="5" max="5" width="16" customWidth="1"/>
    <col min="6" max="6" width="17.85546875" customWidth="1"/>
  </cols>
  <sheetData>
    <row r="2" spans="1:13" ht="18.75">
      <c r="B2" s="417" t="s">
        <v>563</v>
      </c>
      <c r="C2" s="417"/>
      <c r="D2" s="417"/>
      <c r="E2" s="417"/>
      <c r="F2" s="417"/>
    </row>
    <row r="4" spans="1:13">
      <c r="B4" s="350" t="s">
        <v>146</v>
      </c>
      <c r="C4" s="350" t="s">
        <v>128</v>
      </c>
      <c r="D4" s="350" t="s">
        <v>160</v>
      </c>
      <c r="E4" s="355" t="s">
        <v>472</v>
      </c>
      <c r="F4" s="355" t="s">
        <v>473</v>
      </c>
    </row>
    <row r="5" spans="1:13">
      <c r="B5" s="365">
        <v>1</v>
      </c>
      <c r="C5" s="352" t="str">
        <f>'2.Capex Details'!B2</f>
        <v>Land and Building</v>
      </c>
      <c r="D5" s="356">
        <f>'2.Capex Details'!G11</f>
        <v>21653053</v>
      </c>
      <c r="E5" s="357">
        <v>0.6</v>
      </c>
      <c r="F5" s="358">
        <f>D5*E5</f>
        <v>12991831.799999999</v>
      </c>
    </row>
    <row r="6" spans="1:13">
      <c r="B6" s="365">
        <v>2</v>
      </c>
      <c r="C6" s="352" t="str">
        <f>'2.Capex Details'!B16</f>
        <v>Machinery and Equipment</v>
      </c>
      <c r="D6" s="356">
        <f>'2.Capex Details'!G62</f>
        <v>3323300</v>
      </c>
      <c r="E6" s="357">
        <v>0.6</v>
      </c>
      <c r="F6" s="358">
        <f t="shared" ref="F6:F10" si="0">D6*E6</f>
        <v>1993980</v>
      </c>
    </row>
    <row r="7" spans="1:13">
      <c r="B7" s="365">
        <v>3</v>
      </c>
      <c r="C7" s="352" t="str">
        <f>'2.Capex Details'!B68</f>
        <v>Furniture and Fixture</v>
      </c>
      <c r="D7" s="356">
        <f>'2.Capex Details'!F77</f>
        <v>601357.98</v>
      </c>
      <c r="E7" s="357">
        <v>0.6</v>
      </c>
      <c r="F7" s="358">
        <f t="shared" si="0"/>
        <v>360814.788</v>
      </c>
    </row>
    <row r="8" spans="1:13">
      <c r="B8" s="365">
        <v>4</v>
      </c>
      <c r="C8" s="352" t="str">
        <f>'2.Capex Details'!B82</f>
        <v>IT &amp; It Infrastracture</v>
      </c>
      <c r="D8" s="356">
        <f>'2.Capex Details'!F91</f>
        <v>0</v>
      </c>
      <c r="E8" s="357">
        <v>0.6</v>
      </c>
      <c r="F8" s="358">
        <f t="shared" si="0"/>
        <v>0</v>
      </c>
    </row>
    <row r="9" spans="1:13" ht="25.5">
      <c r="B9" s="365">
        <v>5</v>
      </c>
      <c r="C9" s="352" t="str">
        <f>'2.Capex Details'!B96</f>
        <v>Transport vehical  (Refer van and other)</v>
      </c>
      <c r="D9" s="356">
        <f>'2.Capex Details'!F102</f>
        <v>0</v>
      </c>
      <c r="E9" s="357">
        <v>0.6</v>
      </c>
      <c r="F9" s="358">
        <f t="shared" si="0"/>
        <v>0</v>
      </c>
    </row>
    <row r="10" spans="1:13">
      <c r="B10" s="365">
        <v>6</v>
      </c>
      <c r="C10" s="352" t="str">
        <f>'2.Capex Details'!B106</f>
        <v>Preliminary Expenses</v>
      </c>
      <c r="D10" s="356">
        <f>'2.Capex Details'!D114</f>
        <v>1325000</v>
      </c>
      <c r="E10" s="357">
        <v>0.6</v>
      </c>
      <c r="F10" s="358">
        <f t="shared" si="0"/>
        <v>795000</v>
      </c>
      <c r="L10" t="s">
        <v>424</v>
      </c>
    </row>
    <row r="11" spans="1:13">
      <c r="B11" s="365">
        <v>7</v>
      </c>
      <c r="C11" s="352" t="s">
        <v>158</v>
      </c>
      <c r="D11" s="356">
        <f>'5.Closing Stock &amp; W Capital'!E56</f>
        <v>813366.26910478249</v>
      </c>
      <c r="E11" s="359"/>
      <c r="F11" s="359"/>
    </row>
    <row r="12" spans="1:13">
      <c r="B12" s="416" t="s">
        <v>1</v>
      </c>
      <c r="C12" s="416"/>
      <c r="D12" s="360">
        <f>SUM(D5:D11)</f>
        <v>27716077.249104783</v>
      </c>
      <c r="E12" s="359"/>
      <c r="F12" s="360">
        <f>SUM(F5:F11)</f>
        <v>16141626.588</v>
      </c>
    </row>
    <row r="13" spans="1:13">
      <c r="D13" s="22"/>
      <c r="M13">
        <v>48</v>
      </c>
    </row>
    <row r="14" spans="1:13" ht="25.5" customHeight="1">
      <c r="A14" s="419" t="s">
        <v>425</v>
      </c>
      <c r="B14" s="419"/>
      <c r="C14" s="419"/>
      <c r="D14" s="419"/>
      <c r="E14" s="419"/>
      <c r="F14" s="419"/>
      <c r="M14">
        <v>11.64</v>
      </c>
    </row>
    <row r="15" spans="1:13">
      <c r="M15">
        <f>M13+M14</f>
        <v>59.64</v>
      </c>
    </row>
    <row r="16" spans="1:13" ht="18.75">
      <c r="B16" s="417" t="s">
        <v>564</v>
      </c>
      <c r="C16" s="417"/>
      <c r="D16" s="417"/>
      <c r="E16" s="417"/>
      <c r="F16" s="417"/>
      <c r="M16">
        <v>19.05</v>
      </c>
    </row>
    <row r="17" spans="2:13">
      <c r="M17">
        <f>M15+M16</f>
        <v>78.69</v>
      </c>
    </row>
    <row r="18" spans="2:13">
      <c r="B18" s="349" t="s">
        <v>146</v>
      </c>
      <c r="C18" s="350" t="s">
        <v>128</v>
      </c>
      <c r="D18" s="350" t="s">
        <v>657</v>
      </c>
      <c r="E18" s="350" t="s">
        <v>160</v>
      </c>
      <c r="I18">
        <f>277.84*5%</f>
        <v>13.891999999999999</v>
      </c>
    </row>
    <row r="19" spans="2:13" ht="25.5">
      <c r="B19" s="351">
        <v>1</v>
      </c>
      <c r="C19" s="352" t="s">
        <v>338</v>
      </c>
      <c r="D19" s="390"/>
      <c r="E19" s="353">
        <f>F12</f>
        <v>16141626.588</v>
      </c>
    </row>
    <row r="20" spans="2:13">
      <c r="B20" s="351">
        <v>2</v>
      </c>
      <c r="C20" s="352" t="s">
        <v>159</v>
      </c>
      <c r="D20" s="384">
        <v>0.3</v>
      </c>
      <c r="E20" s="353">
        <f>SUM(D5:D9)*D20</f>
        <v>7673313.2939999998</v>
      </c>
    </row>
    <row r="21" spans="2:13">
      <c r="B21" s="351">
        <v>3</v>
      </c>
      <c r="C21" s="352" t="s">
        <v>135</v>
      </c>
      <c r="D21" s="353"/>
      <c r="E21" s="353">
        <f>D12-E19-E20</f>
        <v>3901137.3671047837</v>
      </c>
    </row>
    <row r="22" spans="2:13">
      <c r="B22" s="416" t="s">
        <v>1</v>
      </c>
      <c r="C22" s="416"/>
      <c r="D22" s="354"/>
      <c r="E22" s="354">
        <f>SUM(E19:E21)</f>
        <v>27716077.249104783</v>
      </c>
    </row>
    <row r="24" spans="2:13">
      <c r="B24" s="418" t="s">
        <v>426</v>
      </c>
      <c r="C24" s="418"/>
      <c r="D24" s="418"/>
      <c r="E24" s="418"/>
      <c r="F24" s="418"/>
    </row>
    <row r="26" spans="2:13" ht="18.75">
      <c r="B26" s="415" t="s">
        <v>565</v>
      </c>
      <c r="C26" s="415"/>
      <c r="D26" s="415"/>
      <c r="E26" s="415"/>
      <c r="F26" s="415"/>
    </row>
    <row r="27" spans="2:13">
      <c r="B27" s="361" t="s">
        <v>146</v>
      </c>
      <c r="C27" s="362" t="s">
        <v>613</v>
      </c>
      <c r="D27" s="363" t="s">
        <v>614</v>
      </c>
      <c r="E27" s="364" t="s">
        <v>615</v>
      </c>
      <c r="F27" s="413" t="s">
        <v>616</v>
      </c>
      <c r="G27" s="414"/>
    </row>
    <row r="28" spans="2:13" ht="25.5">
      <c r="B28" s="365">
        <v>1</v>
      </c>
      <c r="C28" s="352" t="s">
        <v>384</v>
      </c>
      <c r="D28" s="366">
        <f>'9. Financial indiacators'!C49</f>
        <v>0.42233400765433149</v>
      </c>
      <c r="E28" s="365" t="s">
        <v>385</v>
      </c>
      <c r="F28" s="372" t="s">
        <v>617</v>
      </c>
      <c r="G28" s="365" t="s">
        <v>386</v>
      </c>
    </row>
    <row r="29" spans="2:13" ht="38.25">
      <c r="B29" s="365">
        <v>2</v>
      </c>
      <c r="C29" s="352" t="s">
        <v>387</v>
      </c>
      <c r="D29" s="367">
        <f>'9. Financial indiacators'!C85</f>
        <v>0.20337439918888553</v>
      </c>
      <c r="E29" s="365" t="s">
        <v>385</v>
      </c>
      <c r="F29" s="372" t="s">
        <v>618</v>
      </c>
      <c r="G29" s="365" t="s">
        <v>388</v>
      </c>
    </row>
    <row r="30" spans="2:13" ht="38.25">
      <c r="B30" s="365">
        <v>3</v>
      </c>
      <c r="C30" s="352" t="s">
        <v>389</v>
      </c>
      <c r="D30" s="366">
        <f>'9. Financial indiacators'!C16</f>
        <v>0.12057922427136014</v>
      </c>
      <c r="E30" s="365" t="s">
        <v>385</v>
      </c>
      <c r="F30" s="372" t="s">
        <v>619</v>
      </c>
      <c r="G30" s="365" t="s">
        <v>390</v>
      </c>
    </row>
    <row r="31" spans="2:13" ht="63.75">
      <c r="B31" s="365">
        <v>4</v>
      </c>
      <c r="C31" s="352" t="s">
        <v>391</v>
      </c>
      <c r="D31" s="368">
        <f>'9. Financial indiacators'!C73</f>
        <v>2443815.8281224221</v>
      </c>
      <c r="E31" s="365" t="s">
        <v>395</v>
      </c>
      <c r="F31" s="372" t="s">
        <v>620</v>
      </c>
      <c r="G31" s="365" t="s">
        <v>392</v>
      </c>
    </row>
    <row r="32" spans="2:13" ht="51">
      <c r="B32" s="365">
        <v>5</v>
      </c>
      <c r="C32" s="352" t="s">
        <v>393</v>
      </c>
      <c r="D32" s="369">
        <f>'9. Financial indiacators'!D101</f>
        <v>5.2592498865332438</v>
      </c>
      <c r="E32" s="365" t="s">
        <v>385</v>
      </c>
      <c r="F32" s="372" t="s">
        <v>621</v>
      </c>
      <c r="G32" s="365" t="s">
        <v>396</v>
      </c>
    </row>
    <row r="33" spans="2:7" ht="38.25">
      <c r="B33" s="365">
        <v>6</v>
      </c>
      <c r="C33" s="370" t="s">
        <v>394</v>
      </c>
      <c r="D33" s="369">
        <f>'9. Financial indiacators'!C119</f>
        <v>2.4769381331484794</v>
      </c>
      <c r="E33" s="371" t="s">
        <v>385</v>
      </c>
      <c r="F33" s="372" t="s">
        <v>622</v>
      </c>
      <c r="G33" s="370" t="s">
        <v>397</v>
      </c>
    </row>
  </sheetData>
  <mergeCells count="8">
    <mergeCell ref="F27:G27"/>
    <mergeCell ref="B26:F26"/>
    <mergeCell ref="B12:C12"/>
    <mergeCell ref="B22:C22"/>
    <mergeCell ref="B2:F2"/>
    <mergeCell ref="B16:F16"/>
    <mergeCell ref="B24:F24"/>
    <mergeCell ref="A14:F14"/>
  </mergeCells>
  <conditionalFormatting sqref="D23">
    <cfRule type="cellIs" dxfId="3" priority="1" operator="greaterThan">
      <formula>0</formula>
    </cfRule>
  </conditionalFormatting>
  <pageMargins left="0.7" right="0.7" top="0.75" bottom="0.75" header="0.3" footer="0.3"/>
  <pageSetup scale="8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16"/>
  <sheetViews>
    <sheetView view="pageBreakPreview" topLeftCell="A80" zoomScale="80" zoomScaleSheetLayoutView="80" workbookViewId="0">
      <selection activeCell="A107" sqref="A107"/>
    </sheetView>
  </sheetViews>
  <sheetFormatPr defaultRowHeight="15"/>
  <cols>
    <col min="2" max="2" width="7.5703125" bestFit="1" customWidth="1"/>
    <col min="3" max="3" width="41.5703125" customWidth="1"/>
    <col min="4" max="4" width="10.85546875" customWidth="1"/>
    <col min="5" max="5" width="17" customWidth="1"/>
    <col min="6" max="6" width="14" bestFit="1" customWidth="1"/>
    <col min="7" max="7" width="13.42578125" customWidth="1"/>
    <col min="8" max="8" width="11.5703125" bestFit="1" customWidth="1"/>
    <col min="10" max="10" width="11.28515625" bestFit="1" customWidth="1"/>
    <col min="11" max="11" width="9.85546875" bestFit="1" customWidth="1"/>
    <col min="12" max="12" width="10.140625" bestFit="1" customWidth="1"/>
  </cols>
  <sheetData>
    <row r="2" spans="1:13" ht="18.75">
      <c r="A2">
        <v>2.1</v>
      </c>
      <c r="B2" s="417" t="s">
        <v>156</v>
      </c>
      <c r="C2" s="417"/>
      <c r="D2" s="417"/>
      <c r="E2" s="417"/>
      <c r="F2" s="417"/>
      <c r="G2" s="417"/>
    </row>
    <row r="4" spans="1:13" ht="28.5">
      <c r="B4" s="215" t="s">
        <v>146</v>
      </c>
      <c r="C4" s="215" t="s">
        <v>128</v>
      </c>
      <c r="D4" s="215" t="s">
        <v>133</v>
      </c>
      <c r="E4" s="215" t="s">
        <v>147</v>
      </c>
      <c r="F4" s="215" t="s">
        <v>148</v>
      </c>
      <c r="G4" s="215" t="s">
        <v>160</v>
      </c>
    </row>
    <row r="5" spans="1:13">
      <c r="B5" s="264">
        <v>1</v>
      </c>
      <c r="C5" s="264" t="s">
        <v>149</v>
      </c>
      <c r="D5" s="264" t="s">
        <v>150</v>
      </c>
      <c r="E5" s="373"/>
      <c r="F5" s="374"/>
      <c r="G5" s="375" t="s">
        <v>151</v>
      </c>
    </row>
    <row r="6" spans="1:13" ht="30">
      <c r="B6" s="264">
        <v>2</v>
      </c>
      <c r="C6" s="264" t="s">
        <v>716</v>
      </c>
      <c r="D6" s="265" t="s">
        <v>718</v>
      </c>
      <c r="E6" s="230">
        <v>1</v>
      </c>
      <c r="F6" s="231">
        <v>2515600</v>
      </c>
      <c r="G6" s="232">
        <f>E6*F6</f>
        <v>2515600</v>
      </c>
      <c r="J6" s="392" t="e">
        <f>G6/D6</f>
        <v>#VALUE!</v>
      </c>
    </row>
    <row r="7" spans="1:13">
      <c r="B7" s="264">
        <v>3</v>
      </c>
      <c r="C7" s="264" t="s">
        <v>708</v>
      </c>
      <c r="D7" s="265" t="s">
        <v>700</v>
      </c>
      <c r="E7" s="230">
        <v>1</v>
      </c>
      <c r="F7" s="231">
        <f>10631.92*1800-3</f>
        <v>19137453</v>
      </c>
      <c r="G7" s="232">
        <f t="shared" ref="G7:G10" si="0">E7*F7</f>
        <v>19137453</v>
      </c>
      <c r="J7" s="67">
        <f>G7/1800</f>
        <v>10631.918333333333</v>
      </c>
      <c r="L7">
        <f>11000/10.76*1.8</f>
        <v>1840.1486988847585</v>
      </c>
      <c r="M7">
        <f>12500+10500</f>
        <v>23000</v>
      </c>
    </row>
    <row r="8" spans="1:13">
      <c r="B8" s="264"/>
      <c r="C8" s="264"/>
      <c r="D8" s="265"/>
      <c r="E8" s="230"/>
      <c r="F8" s="231"/>
      <c r="G8" s="232"/>
    </row>
    <row r="9" spans="1:13">
      <c r="B9" s="264"/>
      <c r="C9" s="264"/>
      <c r="D9" s="265"/>
      <c r="E9" s="230"/>
      <c r="F9" s="231"/>
      <c r="G9" s="232"/>
    </row>
    <row r="10" spans="1:13">
      <c r="B10" s="264"/>
      <c r="C10" s="264"/>
      <c r="D10" s="265"/>
      <c r="E10" s="230"/>
      <c r="F10" s="231"/>
      <c r="G10" s="232">
        <f t="shared" si="0"/>
        <v>0</v>
      </c>
      <c r="J10">
        <f>5600125/3500</f>
        <v>1600.0357142857142</v>
      </c>
    </row>
    <row r="11" spans="1:13">
      <c r="B11" s="427" t="s">
        <v>1</v>
      </c>
      <c r="C11" s="427"/>
      <c r="D11" s="427"/>
      <c r="E11" s="427"/>
      <c r="F11" s="427"/>
      <c r="G11" s="229">
        <f>SUM(G6:G10)</f>
        <v>21653053</v>
      </c>
    </row>
    <row r="13" spans="1:13">
      <c r="K13">
        <f>19137600</f>
        <v>19137600</v>
      </c>
      <c r="M13">
        <f>5600125/3500</f>
        <v>1600.0357142857142</v>
      </c>
    </row>
    <row r="14" spans="1:13">
      <c r="B14" s="418" t="s">
        <v>420</v>
      </c>
      <c r="C14" s="418"/>
      <c r="D14" s="418"/>
      <c r="E14" s="418"/>
      <c r="F14" s="418"/>
      <c r="G14" s="418"/>
    </row>
    <row r="15" spans="1:13">
      <c r="K15">
        <f>19137453/1800</f>
        <v>10631.918333333333</v>
      </c>
    </row>
    <row r="16" spans="1:13" ht="18.75">
      <c r="A16">
        <v>2.2000000000000002</v>
      </c>
      <c r="B16" s="417" t="s">
        <v>157</v>
      </c>
      <c r="C16" s="417"/>
      <c r="D16" s="417"/>
      <c r="E16" s="417"/>
      <c r="F16" s="417"/>
      <c r="G16" s="417"/>
      <c r="H16" s="417"/>
    </row>
    <row r="17" spans="2:12">
      <c r="B17" s="19"/>
    </row>
    <row r="18" spans="2:12" ht="28.5">
      <c r="B18" s="324" t="s">
        <v>146</v>
      </c>
      <c r="C18" s="324" t="s">
        <v>152</v>
      </c>
      <c r="D18" s="324" t="s">
        <v>163</v>
      </c>
      <c r="E18" s="324" t="s">
        <v>153</v>
      </c>
      <c r="F18" s="324" t="s">
        <v>154</v>
      </c>
      <c r="G18" s="324" t="s">
        <v>160</v>
      </c>
      <c r="H18" s="324" t="s">
        <v>155</v>
      </c>
    </row>
    <row r="19" spans="2:12">
      <c r="B19" s="240"/>
      <c r="C19" s="233"/>
      <c r="D19" s="233"/>
      <c r="E19" s="233"/>
      <c r="F19" s="233"/>
      <c r="G19" s="234"/>
      <c r="H19" s="233"/>
    </row>
    <row r="20" spans="2:12">
      <c r="B20" s="236" t="s">
        <v>175</v>
      </c>
      <c r="C20" s="235" t="s">
        <v>370</v>
      </c>
      <c r="D20" s="235"/>
      <c r="E20" s="236"/>
      <c r="F20" s="237"/>
      <c r="G20" s="234">
        <f t="shared" ref="G20:G29" si="1">E20*F20</f>
        <v>0</v>
      </c>
      <c r="H20" s="238"/>
      <c r="J20">
        <f>2515600/2500</f>
        <v>1006.24</v>
      </c>
      <c r="L20" s="392">
        <f>G7/11000</f>
        <v>1739.7684545454545</v>
      </c>
    </row>
    <row r="21" spans="2:12">
      <c r="B21" s="236"/>
      <c r="C21" s="235"/>
      <c r="D21" s="235"/>
      <c r="E21" s="236"/>
      <c r="F21" s="237"/>
      <c r="G21" s="234">
        <f t="shared" si="1"/>
        <v>0</v>
      </c>
      <c r="H21" s="238"/>
    </row>
    <row r="22" spans="2:12">
      <c r="B22" s="236"/>
      <c r="C22" s="235"/>
      <c r="D22" s="235"/>
      <c r="E22" s="236"/>
      <c r="F22" s="237"/>
      <c r="G22" s="234">
        <f>E22*F22</f>
        <v>0</v>
      </c>
      <c r="H22" s="238"/>
    </row>
    <row r="23" spans="2:12">
      <c r="B23" s="236"/>
      <c r="C23" s="235"/>
      <c r="D23" s="235"/>
      <c r="E23" s="236"/>
      <c r="F23" s="237"/>
      <c r="G23" s="234">
        <f>E23*F23</f>
        <v>0</v>
      </c>
      <c r="H23" s="238"/>
    </row>
    <row r="24" spans="2:12">
      <c r="H24" s="238"/>
    </row>
    <row r="25" spans="2:12">
      <c r="B25" s="236"/>
      <c r="C25" s="235"/>
      <c r="D25" s="235"/>
      <c r="E25" s="236"/>
      <c r="F25" s="237"/>
      <c r="G25" s="234"/>
      <c r="H25" s="238"/>
    </row>
    <row r="26" spans="2:12">
      <c r="B26" s="236"/>
      <c r="C26" s="235"/>
      <c r="D26" s="235"/>
      <c r="E26" s="236"/>
      <c r="F26" s="237"/>
      <c r="G26" s="234"/>
      <c r="H26" s="238"/>
    </row>
    <row r="27" spans="2:12">
      <c r="B27" s="391"/>
      <c r="C27" s="235"/>
      <c r="D27" s="235"/>
      <c r="E27" s="391"/>
      <c r="F27" s="237"/>
      <c r="G27" s="234"/>
      <c r="H27" s="238"/>
    </row>
    <row r="28" spans="2:12">
      <c r="B28" s="236"/>
      <c r="C28" s="235"/>
      <c r="D28" s="236"/>
      <c r="E28" s="236"/>
      <c r="F28" s="237"/>
      <c r="G28" s="234">
        <f t="shared" si="1"/>
        <v>0</v>
      </c>
      <c r="H28" s="238"/>
    </row>
    <row r="29" spans="2:12">
      <c r="B29" s="236"/>
      <c r="C29" s="235"/>
      <c r="D29" s="236"/>
      <c r="E29" s="236"/>
      <c r="F29" s="237"/>
      <c r="G29" s="234">
        <f t="shared" si="1"/>
        <v>0</v>
      </c>
      <c r="H29" s="238"/>
    </row>
    <row r="30" spans="2:12">
      <c r="B30" s="236"/>
      <c r="C30" s="235"/>
      <c r="D30" s="236"/>
      <c r="E30" s="236"/>
      <c r="F30" s="237"/>
      <c r="G30" s="234">
        <f>E30*F30</f>
        <v>0</v>
      </c>
      <c r="H30" s="238"/>
    </row>
    <row r="31" spans="2:12">
      <c r="B31" s="423" t="s">
        <v>173</v>
      </c>
      <c r="C31" s="423"/>
      <c r="D31" s="236"/>
      <c r="E31" s="236"/>
      <c r="F31" s="239"/>
      <c r="G31" s="234">
        <f>SUM(G20:G30)</f>
        <v>0</v>
      </c>
      <c r="H31" s="234">
        <f>SUM(H20:H30)</f>
        <v>0</v>
      </c>
    </row>
    <row r="32" spans="2:12">
      <c r="B32" s="236" t="s">
        <v>176</v>
      </c>
      <c r="C32" s="235" t="s">
        <v>297</v>
      </c>
      <c r="D32" s="240"/>
      <c r="E32" s="240"/>
      <c r="F32" s="234"/>
      <c r="G32" s="234"/>
      <c r="H32" s="233"/>
    </row>
    <row r="33" spans="2:8">
      <c r="B33" s="240"/>
      <c r="C33" s="241"/>
      <c r="D33" s="241"/>
      <c r="E33" s="240"/>
      <c r="F33" s="234"/>
      <c r="G33" s="234">
        <f t="shared" ref="G33:G38" si="2">E33*F33</f>
        <v>0</v>
      </c>
      <c r="H33" s="233"/>
    </row>
    <row r="34" spans="2:8">
      <c r="B34" s="240"/>
      <c r="C34" s="241"/>
      <c r="D34" s="240"/>
      <c r="E34" s="240"/>
      <c r="F34" s="234"/>
      <c r="G34" s="234">
        <f t="shared" si="2"/>
        <v>0</v>
      </c>
      <c r="H34" s="233"/>
    </row>
    <row r="35" spans="2:8" hidden="1">
      <c r="B35" s="240"/>
      <c r="C35" s="241"/>
      <c r="D35" s="240"/>
      <c r="E35" s="240"/>
      <c r="F35" s="234"/>
      <c r="G35" s="234">
        <f t="shared" si="2"/>
        <v>0</v>
      </c>
      <c r="H35" s="233"/>
    </row>
    <row r="36" spans="2:8">
      <c r="B36" s="240"/>
      <c r="C36" s="241"/>
      <c r="D36" s="240"/>
      <c r="E36" s="240"/>
      <c r="F36" s="234"/>
      <c r="G36" s="234">
        <f t="shared" si="2"/>
        <v>0</v>
      </c>
      <c r="H36" s="233"/>
    </row>
    <row r="37" spans="2:8">
      <c r="B37" s="240"/>
      <c r="C37" s="241"/>
      <c r="D37" s="240"/>
      <c r="E37" s="240"/>
      <c r="F37" s="234"/>
      <c r="G37" s="234">
        <f t="shared" si="2"/>
        <v>0</v>
      </c>
      <c r="H37" s="233"/>
    </row>
    <row r="38" spans="2:8" hidden="1">
      <c r="B38" s="240"/>
      <c r="C38" s="241"/>
      <c r="D38" s="240"/>
      <c r="E38" s="240"/>
      <c r="F38" s="234"/>
      <c r="G38" s="234">
        <f t="shared" si="2"/>
        <v>0</v>
      </c>
      <c r="H38" s="233"/>
    </row>
    <row r="39" spans="2:8">
      <c r="B39" s="240"/>
      <c r="C39" s="241"/>
      <c r="D39" s="240"/>
      <c r="E39" s="240"/>
      <c r="F39" s="234"/>
      <c r="G39" s="234">
        <f t="shared" ref="G39:G45" si="3">F39</f>
        <v>0</v>
      </c>
      <c r="H39" s="233"/>
    </row>
    <row r="40" spans="2:8">
      <c r="B40" s="240"/>
      <c r="C40" s="241"/>
      <c r="D40" s="240"/>
      <c r="E40" s="240"/>
      <c r="F40" s="234"/>
      <c r="G40" s="234">
        <f t="shared" si="3"/>
        <v>0</v>
      </c>
      <c r="H40" s="233"/>
    </row>
    <row r="41" spans="2:8">
      <c r="B41" s="240"/>
      <c r="C41" s="241"/>
      <c r="D41" s="240"/>
      <c r="E41" s="240"/>
      <c r="F41" s="234"/>
      <c r="G41" s="234">
        <f t="shared" si="3"/>
        <v>0</v>
      </c>
      <c r="H41" s="233"/>
    </row>
    <row r="42" spans="2:8">
      <c r="B42" s="240"/>
      <c r="C42" s="241"/>
      <c r="D42" s="240"/>
      <c r="E42" s="240"/>
      <c r="F42" s="234"/>
      <c r="G42" s="234">
        <f t="shared" si="3"/>
        <v>0</v>
      </c>
      <c r="H42" s="233"/>
    </row>
    <row r="43" spans="2:8">
      <c r="B43" s="240"/>
      <c r="C43" s="241"/>
      <c r="D43" s="240"/>
      <c r="E43" s="240"/>
      <c r="F43" s="234"/>
      <c r="G43" s="234">
        <f t="shared" si="3"/>
        <v>0</v>
      </c>
      <c r="H43" s="233"/>
    </row>
    <row r="44" spans="2:8">
      <c r="B44" s="240"/>
      <c r="C44" s="241"/>
      <c r="D44" s="240"/>
      <c r="E44" s="240"/>
      <c r="F44" s="234"/>
      <c r="G44" s="234">
        <f t="shared" si="3"/>
        <v>0</v>
      </c>
      <c r="H44" s="233"/>
    </row>
    <row r="45" spans="2:8">
      <c r="B45" s="240"/>
      <c r="C45" s="241"/>
      <c r="D45" s="240"/>
      <c r="E45" s="240"/>
      <c r="F45" s="234"/>
      <c r="G45" s="234">
        <f t="shared" si="3"/>
        <v>0</v>
      </c>
      <c r="H45" s="233"/>
    </row>
    <row r="46" spans="2:8">
      <c r="B46" s="423" t="s">
        <v>173</v>
      </c>
      <c r="C46" s="423"/>
      <c r="D46" s="236"/>
      <c r="E46" s="236"/>
      <c r="F46" s="239"/>
      <c r="G46" s="239">
        <f>SUM(G33:G45)</f>
        <v>0</v>
      </c>
      <c r="H46" s="239">
        <f>SUM(H33:H45)</f>
        <v>0</v>
      </c>
    </row>
    <row r="47" spans="2:8">
      <c r="B47" s="240"/>
      <c r="C47" s="241"/>
      <c r="D47" s="240"/>
      <c r="E47" s="240"/>
      <c r="F47" s="234"/>
      <c r="G47" s="234"/>
      <c r="H47" s="233"/>
    </row>
    <row r="48" spans="2:8">
      <c r="B48" s="236" t="s">
        <v>177</v>
      </c>
      <c r="C48" s="235" t="s">
        <v>371</v>
      </c>
      <c r="D48" s="240"/>
      <c r="E48" s="240"/>
      <c r="F48" s="234"/>
      <c r="G48" s="234">
        <f t="shared" ref="G48:G53" si="4">E48*F48</f>
        <v>0</v>
      </c>
      <c r="H48" s="233"/>
    </row>
    <row r="49" spans="2:8">
      <c r="B49" s="236">
        <v>1</v>
      </c>
      <c r="C49" s="235" t="s">
        <v>704</v>
      </c>
      <c r="D49" s="240" t="s">
        <v>709</v>
      </c>
      <c r="E49" s="240">
        <v>1</v>
      </c>
      <c r="F49" s="234">
        <v>2574000</v>
      </c>
      <c r="G49" s="234">
        <f t="shared" si="4"/>
        <v>2574000</v>
      </c>
      <c r="H49" s="233">
        <v>50</v>
      </c>
    </row>
    <row r="50" spans="2:8">
      <c r="B50" s="236">
        <v>2</v>
      </c>
      <c r="C50" s="235" t="s">
        <v>701</v>
      </c>
      <c r="D50" s="235" t="s">
        <v>702</v>
      </c>
      <c r="E50" s="236">
        <v>1</v>
      </c>
      <c r="F50" s="237">
        <v>749300</v>
      </c>
      <c r="G50" s="234">
        <f>E50*F50</f>
        <v>749300</v>
      </c>
      <c r="H50" s="233"/>
    </row>
    <row r="51" spans="2:8">
      <c r="B51" s="236"/>
      <c r="C51" s="235"/>
      <c r="D51" s="241"/>
      <c r="E51" s="240"/>
      <c r="F51" s="234"/>
      <c r="G51" s="234">
        <f t="shared" si="4"/>
        <v>0</v>
      </c>
      <c r="H51" s="233"/>
    </row>
    <row r="52" spans="2:8">
      <c r="B52" s="236"/>
      <c r="C52" s="235"/>
      <c r="D52" s="241"/>
      <c r="E52" s="240"/>
      <c r="F52" s="234"/>
      <c r="G52" s="234">
        <f t="shared" si="4"/>
        <v>0</v>
      </c>
      <c r="H52" s="233"/>
    </row>
    <row r="53" spans="2:8">
      <c r="B53" s="236"/>
      <c r="C53" s="235"/>
      <c r="D53" s="241"/>
      <c r="E53" s="240"/>
      <c r="F53" s="234"/>
      <c r="G53" s="234">
        <f t="shared" si="4"/>
        <v>0</v>
      </c>
      <c r="H53" s="233"/>
    </row>
    <row r="54" spans="2:8">
      <c r="B54" s="423" t="s">
        <v>173</v>
      </c>
      <c r="C54" s="423"/>
      <c r="D54" s="241"/>
      <c r="E54" s="240"/>
      <c r="F54" s="234"/>
      <c r="G54" s="234">
        <f>SUM(G48:G53)</f>
        <v>3323300</v>
      </c>
      <c r="H54" s="234">
        <f>SUM(H48:H53)</f>
        <v>50</v>
      </c>
    </row>
    <row r="55" spans="2:8">
      <c r="B55" s="236"/>
      <c r="C55" s="236"/>
      <c r="D55" s="241"/>
      <c r="E55" s="240"/>
      <c r="F55" s="234"/>
      <c r="G55" s="234"/>
      <c r="H55" s="234"/>
    </row>
    <row r="56" spans="2:8">
      <c r="B56" s="236" t="s">
        <v>178</v>
      </c>
      <c r="C56" s="236" t="s">
        <v>545</v>
      </c>
      <c r="D56" s="241"/>
      <c r="E56" s="240"/>
      <c r="F56" s="234"/>
      <c r="G56" s="234">
        <f>E56*F56</f>
        <v>0</v>
      </c>
      <c r="H56" s="234"/>
    </row>
    <row r="57" spans="2:8">
      <c r="B57" s="236"/>
      <c r="C57" s="236"/>
      <c r="D57" s="241"/>
      <c r="E57" s="240"/>
      <c r="F57" s="234"/>
      <c r="G57" s="234">
        <f t="shared" ref="G57:G59" si="5">E57*F57</f>
        <v>0</v>
      </c>
      <c r="H57" s="234"/>
    </row>
    <row r="58" spans="2:8" hidden="1">
      <c r="B58" s="236"/>
      <c r="C58" s="236"/>
      <c r="D58" s="241"/>
      <c r="E58" s="240"/>
      <c r="F58" s="234"/>
      <c r="G58" s="234">
        <f t="shared" si="5"/>
        <v>0</v>
      </c>
      <c r="H58" s="234"/>
    </row>
    <row r="59" spans="2:8">
      <c r="B59" s="236"/>
      <c r="C59" s="235"/>
      <c r="D59" s="241"/>
      <c r="E59" s="240"/>
      <c r="F59" s="234"/>
      <c r="G59" s="234">
        <f t="shared" si="5"/>
        <v>0</v>
      </c>
      <c r="H59" s="233"/>
    </row>
    <row r="60" spans="2:8">
      <c r="B60" s="423" t="s">
        <v>173</v>
      </c>
      <c r="C60" s="423"/>
      <c r="D60" s="241"/>
      <c r="E60" s="240"/>
      <c r="F60" s="234"/>
      <c r="G60" s="234">
        <f>SUM(G56:G59)</f>
        <v>0</v>
      </c>
      <c r="H60" s="234">
        <f>SUM(H56:H59)</f>
        <v>0</v>
      </c>
    </row>
    <row r="61" spans="2:8">
      <c r="B61" s="240"/>
      <c r="C61" s="241"/>
      <c r="D61" s="241"/>
      <c r="E61" s="240"/>
      <c r="F61" s="234"/>
      <c r="G61" s="234"/>
      <c r="H61" s="233"/>
    </row>
    <row r="62" spans="2:8">
      <c r="B62" s="424" t="s">
        <v>1</v>
      </c>
      <c r="C62" s="424"/>
      <c r="D62" s="424"/>
      <c r="E62" s="424"/>
      <c r="F62" s="424"/>
      <c r="G62" s="228">
        <f>G54+G46+G31+G60</f>
        <v>3323300</v>
      </c>
      <c r="H62" s="228">
        <f>H46+H20+H54+H60</f>
        <v>50</v>
      </c>
    </row>
    <row r="63" spans="2:8">
      <c r="B63" s="19"/>
      <c r="G63" s="18"/>
    </row>
    <row r="64" spans="2:8">
      <c r="B64" s="418" t="s">
        <v>421</v>
      </c>
      <c r="C64" s="418"/>
      <c r="D64" s="418"/>
      <c r="E64" s="418"/>
      <c r="F64" s="418"/>
      <c r="G64" s="418"/>
      <c r="H64" s="418"/>
    </row>
    <row r="65" spans="1:11">
      <c r="B65" s="19"/>
      <c r="G65" s="18"/>
      <c r="I65" s="19"/>
      <c r="J65" s="19"/>
      <c r="K65" s="20"/>
    </row>
    <row r="68" spans="1:11" ht="18.75">
      <c r="A68">
        <v>2.2999999999999998</v>
      </c>
      <c r="B68" s="417" t="s">
        <v>382</v>
      </c>
      <c r="C68" s="417"/>
      <c r="D68" s="417"/>
      <c r="E68" s="417"/>
      <c r="F68" s="417"/>
    </row>
    <row r="70" spans="1:11" ht="30">
      <c r="B70" s="23" t="s">
        <v>146</v>
      </c>
      <c r="C70" s="57" t="s">
        <v>128</v>
      </c>
      <c r="D70" s="57" t="s">
        <v>153</v>
      </c>
      <c r="E70" s="57" t="s">
        <v>154</v>
      </c>
      <c r="F70" s="57" t="s">
        <v>160</v>
      </c>
    </row>
    <row r="71" spans="1:11" ht="30">
      <c r="B71" s="242">
        <v>1</v>
      </c>
      <c r="C71" s="266" t="s">
        <v>717</v>
      </c>
      <c r="D71" s="242">
        <v>1</v>
      </c>
      <c r="E71" s="243">
        <v>601357.98</v>
      </c>
      <c r="F71" s="244">
        <f t="shared" ref="F71:F76" si="6">D71*E71</f>
        <v>601357.98</v>
      </c>
    </row>
    <row r="72" spans="1:11">
      <c r="B72" s="242"/>
      <c r="C72" s="266"/>
      <c r="D72" s="242"/>
      <c r="E72" s="243"/>
      <c r="F72" s="244">
        <f t="shared" si="6"/>
        <v>0</v>
      </c>
    </row>
    <row r="73" spans="1:11">
      <c r="B73" s="242"/>
      <c r="C73" s="266"/>
      <c r="D73" s="242"/>
      <c r="E73" s="243"/>
      <c r="F73" s="244">
        <f t="shared" si="6"/>
        <v>0</v>
      </c>
    </row>
    <row r="74" spans="1:11">
      <c r="B74" s="242"/>
      <c r="C74" s="266"/>
      <c r="D74" s="242"/>
      <c r="E74" s="243"/>
      <c r="F74" s="244">
        <f t="shared" si="6"/>
        <v>0</v>
      </c>
    </row>
    <row r="75" spans="1:11">
      <c r="B75" s="242"/>
      <c r="C75" s="266"/>
      <c r="D75" s="242"/>
      <c r="E75" s="243"/>
      <c r="F75" s="244">
        <f t="shared" si="6"/>
        <v>0</v>
      </c>
    </row>
    <row r="76" spans="1:11">
      <c r="B76" s="242"/>
      <c r="C76" s="266"/>
      <c r="D76" s="242"/>
      <c r="E76" s="243"/>
      <c r="F76" s="244">
        <f t="shared" si="6"/>
        <v>0</v>
      </c>
    </row>
    <row r="77" spans="1:11">
      <c r="B77" s="426" t="s">
        <v>1</v>
      </c>
      <c r="C77" s="426"/>
      <c r="D77" s="426"/>
      <c r="E77" s="426"/>
      <c r="F77" s="21">
        <f>SUM(F71:F76)</f>
        <v>601357.98</v>
      </c>
    </row>
    <row r="79" spans="1:11">
      <c r="A79" s="418" t="s">
        <v>422</v>
      </c>
      <c r="B79" s="418"/>
      <c r="C79" s="418"/>
      <c r="D79" s="418"/>
      <c r="E79" s="418"/>
      <c r="F79" s="418"/>
      <c r="G79" s="418"/>
    </row>
    <row r="82" spans="1:7" ht="18.75">
      <c r="A82">
        <v>2.4</v>
      </c>
      <c r="B82" s="417" t="s">
        <v>381</v>
      </c>
      <c r="C82" s="417"/>
      <c r="D82" s="417"/>
      <c r="E82" s="417"/>
      <c r="F82" s="417"/>
    </row>
    <row r="84" spans="1:7" ht="30">
      <c r="B84" s="23" t="s">
        <v>146</v>
      </c>
      <c r="C84" s="61" t="s">
        <v>128</v>
      </c>
      <c r="D84" s="61" t="s">
        <v>153</v>
      </c>
      <c r="E84" s="61" t="s">
        <v>154</v>
      </c>
      <c r="F84" s="61" t="s">
        <v>160</v>
      </c>
    </row>
    <row r="85" spans="1:7">
      <c r="B85" s="242">
        <v>1</v>
      </c>
      <c r="C85" s="266"/>
      <c r="D85" s="242"/>
      <c r="E85" s="243"/>
      <c r="F85" s="244">
        <f t="shared" ref="F85:F90" si="7">D85*E85</f>
        <v>0</v>
      </c>
    </row>
    <row r="86" spans="1:7">
      <c r="B86" s="242"/>
      <c r="C86" s="266"/>
      <c r="D86" s="242"/>
      <c r="E86" s="243"/>
      <c r="F86" s="244">
        <f t="shared" si="7"/>
        <v>0</v>
      </c>
    </row>
    <row r="87" spans="1:7">
      <c r="B87" s="242"/>
      <c r="C87" s="266"/>
      <c r="D87" s="242"/>
      <c r="E87" s="243"/>
      <c r="F87" s="244">
        <f t="shared" si="7"/>
        <v>0</v>
      </c>
    </row>
    <row r="88" spans="1:7">
      <c r="B88" s="242"/>
      <c r="C88" s="266"/>
      <c r="D88" s="242"/>
      <c r="E88" s="243"/>
      <c r="F88" s="244">
        <f t="shared" si="7"/>
        <v>0</v>
      </c>
    </row>
    <row r="89" spans="1:7">
      <c r="B89" s="242"/>
      <c r="C89" s="266"/>
      <c r="D89" s="242"/>
      <c r="E89" s="243"/>
      <c r="F89" s="244">
        <f t="shared" si="7"/>
        <v>0</v>
      </c>
    </row>
    <row r="90" spans="1:7">
      <c r="B90" s="242"/>
      <c r="C90" s="266"/>
      <c r="D90" s="242"/>
      <c r="E90" s="243"/>
      <c r="F90" s="244">
        <f t="shared" si="7"/>
        <v>0</v>
      </c>
    </row>
    <row r="91" spans="1:7">
      <c r="B91" s="426" t="s">
        <v>1</v>
      </c>
      <c r="C91" s="426"/>
      <c r="D91" s="426"/>
      <c r="E91" s="426"/>
      <c r="F91" s="21">
        <f>SUM(F85:F90)</f>
        <v>0</v>
      </c>
    </row>
    <row r="93" spans="1:7">
      <c r="A93" s="418" t="s">
        <v>422</v>
      </c>
      <c r="B93" s="418"/>
      <c r="C93" s="418"/>
      <c r="D93" s="418"/>
      <c r="E93" s="418"/>
      <c r="F93" s="418"/>
      <c r="G93" s="418"/>
    </row>
    <row r="96" spans="1:7" ht="18.75">
      <c r="A96">
        <v>2.5</v>
      </c>
      <c r="B96" s="417" t="s">
        <v>650</v>
      </c>
      <c r="C96" s="417"/>
      <c r="D96" s="417"/>
      <c r="E96" s="417"/>
      <c r="F96" s="417"/>
    </row>
    <row r="98" spans="1:7" ht="28.5">
      <c r="B98" s="214" t="s">
        <v>146</v>
      </c>
      <c r="C98" s="215" t="s">
        <v>128</v>
      </c>
      <c r="D98" s="215" t="s">
        <v>153</v>
      </c>
      <c r="E98" s="215" t="s">
        <v>154</v>
      </c>
      <c r="F98" s="215" t="s">
        <v>160</v>
      </c>
    </row>
    <row r="99" spans="1:7">
      <c r="B99" s="240">
        <v>1</v>
      </c>
      <c r="C99" s="241"/>
      <c r="D99" s="240"/>
      <c r="E99" s="245"/>
      <c r="F99" s="234">
        <f>E99*D99</f>
        <v>0</v>
      </c>
    </row>
    <row r="100" spans="1:7">
      <c r="B100" s="240"/>
      <c r="C100" s="241"/>
      <c r="D100" s="240"/>
      <c r="E100" s="245"/>
      <c r="F100" s="234">
        <f>E100*D100</f>
        <v>0</v>
      </c>
    </row>
    <row r="101" spans="1:7">
      <c r="B101" s="240"/>
      <c r="C101" s="241"/>
      <c r="D101" s="240"/>
      <c r="E101" s="245"/>
      <c r="F101" s="234">
        <f>E101*D101</f>
        <v>0</v>
      </c>
    </row>
    <row r="102" spans="1:7">
      <c r="B102" s="424" t="s">
        <v>1</v>
      </c>
      <c r="C102" s="424"/>
      <c r="D102" s="424"/>
      <c r="E102" s="424"/>
      <c r="F102" s="217">
        <f>SUM(F99:F101)</f>
        <v>0</v>
      </c>
    </row>
    <row r="103" spans="1:7">
      <c r="A103" s="425" t="s">
        <v>454</v>
      </c>
      <c r="B103" s="425"/>
      <c r="C103" s="425"/>
      <c r="D103" s="425"/>
      <c r="E103" s="425"/>
      <c r="F103" s="425"/>
      <c r="G103" s="425"/>
    </row>
    <row r="106" spans="1:7" ht="18.75">
      <c r="A106">
        <v>2.6</v>
      </c>
      <c r="B106" s="417" t="s">
        <v>258</v>
      </c>
      <c r="C106" s="417"/>
      <c r="D106" s="417"/>
    </row>
    <row r="107" spans="1:7" ht="15.75" thickBot="1"/>
    <row r="108" spans="1:7" ht="29.25" thickBot="1">
      <c r="B108" s="226" t="s">
        <v>146</v>
      </c>
      <c r="C108" s="227" t="s">
        <v>128</v>
      </c>
      <c r="D108" s="227" t="s">
        <v>380</v>
      </c>
    </row>
    <row r="109" spans="1:7" ht="45.75" thickBot="1">
      <c r="B109" s="267">
        <v>1</v>
      </c>
      <c r="C109" s="268" t="s">
        <v>710</v>
      </c>
      <c r="D109" s="246">
        <v>1325000</v>
      </c>
    </row>
    <row r="110" spans="1:7" ht="15.75" thickBot="1">
      <c r="B110" s="267"/>
      <c r="C110" s="268"/>
      <c r="D110" s="246"/>
    </row>
    <row r="111" spans="1:7" ht="15.75" thickBot="1">
      <c r="B111" s="267"/>
      <c r="C111" s="268"/>
      <c r="D111" s="246"/>
    </row>
    <row r="112" spans="1:7" ht="15.75" thickBot="1">
      <c r="B112" s="267"/>
      <c r="C112" s="268"/>
      <c r="D112" s="246"/>
    </row>
    <row r="113" spans="1:5" ht="15.75" thickBot="1">
      <c r="B113" s="267"/>
      <c r="C113" s="268"/>
      <c r="D113" s="246"/>
    </row>
    <row r="114" spans="1:5" ht="15.75" thickBot="1">
      <c r="B114" s="420" t="s">
        <v>1</v>
      </c>
      <c r="C114" s="421"/>
      <c r="D114" s="247">
        <f>SUM(D109:D113)</f>
        <v>1325000</v>
      </c>
    </row>
    <row r="116" spans="1:5" ht="26.1" customHeight="1">
      <c r="A116" s="422" t="s">
        <v>455</v>
      </c>
      <c r="B116" s="422"/>
      <c r="C116" s="422"/>
      <c r="D116" s="422"/>
      <c r="E116" s="422"/>
    </row>
  </sheetData>
  <mergeCells count="22">
    <mergeCell ref="B11:F11"/>
    <mergeCell ref="B2:G2"/>
    <mergeCell ref="B14:G14"/>
    <mergeCell ref="B64:H64"/>
    <mergeCell ref="B62:F62"/>
    <mergeCell ref="B16:H16"/>
    <mergeCell ref="B31:C31"/>
    <mergeCell ref="B46:C46"/>
    <mergeCell ref="B54:C54"/>
    <mergeCell ref="B114:C114"/>
    <mergeCell ref="A116:E116"/>
    <mergeCell ref="B60:C60"/>
    <mergeCell ref="A93:G93"/>
    <mergeCell ref="B102:E102"/>
    <mergeCell ref="B96:F96"/>
    <mergeCell ref="A103:G103"/>
    <mergeCell ref="B106:D106"/>
    <mergeCell ref="B77:E77"/>
    <mergeCell ref="B68:F68"/>
    <mergeCell ref="A79:G79"/>
    <mergeCell ref="B91:E91"/>
    <mergeCell ref="B82:F82"/>
  </mergeCells>
  <pageMargins left="0.7" right="0.7" top="0.75" bottom="0.75" header="0.3" footer="0.3"/>
  <pageSetup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Q105"/>
  <sheetViews>
    <sheetView view="pageBreakPreview" topLeftCell="F28" zoomScale="85" zoomScaleSheetLayoutView="85" workbookViewId="0">
      <selection activeCell="M73" sqref="M73"/>
    </sheetView>
  </sheetViews>
  <sheetFormatPr defaultRowHeight="15"/>
  <cols>
    <col min="1" max="1" width="41.28515625" customWidth="1"/>
    <col min="2" max="2" width="14.5703125" bestFit="1" customWidth="1"/>
    <col min="3" max="3" width="13.28515625" customWidth="1"/>
    <col min="4" max="4" width="13.42578125" customWidth="1"/>
    <col min="5" max="5" width="14.85546875" customWidth="1"/>
    <col min="6" max="7" width="14.7109375" bestFit="1" customWidth="1"/>
    <col min="8" max="8" width="14.85546875" bestFit="1" customWidth="1"/>
    <col min="9" max="9" width="14.85546875" customWidth="1"/>
    <col min="10" max="10" width="14.7109375" bestFit="1" customWidth="1"/>
    <col min="11" max="11" width="14.85546875" customWidth="1"/>
    <col min="12" max="12" width="13.140625" customWidth="1"/>
    <col min="13" max="13" width="12.7109375" customWidth="1"/>
    <col min="14" max="14" width="13.42578125" customWidth="1"/>
    <col min="15" max="15" width="13.140625" customWidth="1"/>
    <col min="16" max="16" width="13" customWidth="1"/>
    <col min="17" max="17" width="13.28515625" customWidth="1"/>
  </cols>
  <sheetData>
    <row r="2" spans="1:11" ht="18.75">
      <c r="A2" s="415" t="s">
        <v>566</v>
      </c>
      <c r="B2" s="415"/>
      <c r="C2" s="415"/>
      <c r="D2" s="415"/>
      <c r="E2" s="415"/>
      <c r="F2" s="415"/>
      <c r="G2" s="415"/>
      <c r="H2" s="415"/>
      <c r="I2" s="415"/>
      <c r="J2" s="415"/>
      <c r="K2" s="415"/>
    </row>
    <row r="4" spans="1:11">
      <c r="A4" s="94"/>
      <c r="B4" s="94"/>
      <c r="C4" s="94"/>
      <c r="D4" s="94"/>
      <c r="E4" s="179">
        <v>1</v>
      </c>
      <c r="F4" s="184">
        <f>(E4*5%)+E4</f>
        <v>1.05</v>
      </c>
      <c r="G4" s="184">
        <f t="shared" ref="G4:K4" si="0">(F4*5%)+F4</f>
        <v>1.1025</v>
      </c>
      <c r="H4" s="184">
        <f t="shared" si="0"/>
        <v>1.1576250000000001</v>
      </c>
      <c r="I4" s="184">
        <f t="shared" si="0"/>
        <v>1.2155062500000002</v>
      </c>
      <c r="J4" s="184">
        <f t="shared" si="0"/>
        <v>1.2762815625000004</v>
      </c>
      <c r="K4" s="184">
        <f t="shared" si="0"/>
        <v>1.3400956406250004</v>
      </c>
    </row>
    <row r="5" spans="1:11">
      <c r="A5" s="94"/>
      <c r="B5" s="94"/>
      <c r="C5" s="94"/>
      <c r="D5" s="94"/>
      <c r="E5" s="94"/>
      <c r="F5" s="94"/>
      <c r="G5" s="94"/>
      <c r="H5" s="94"/>
      <c r="I5" s="94"/>
      <c r="J5" s="94"/>
      <c r="K5" s="94"/>
    </row>
    <row r="6" spans="1:11">
      <c r="A6" s="148" t="s">
        <v>0</v>
      </c>
      <c r="B6" s="148" t="s">
        <v>133</v>
      </c>
      <c r="C6" s="148" t="s">
        <v>398</v>
      </c>
      <c r="D6" s="148" t="s">
        <v>292</v>
      </c>
      <c r="E6" s="120" t="s">
        <v>2</v>
      </c>
      <c r="F6" s="120" t="s">
        <v>3</v>
      </c>
      <c r="G6" s="120" t="s">
        <v>4</v>
      </c>
      <c r="H6" s="120" t="s">
        <v>5</v>
      </c>
      <c r="I6" s="120" t="s">
        <v>6</v>
      </c>
      <c r="J6" s="120" t="s">
        <v>171</v>
      </c>
      <c r="K6" s="120" t="s">
        <v>170</v>
      </c>
    </row>
    <row r="7" spans="1:11">
      <c r="A7" s="95"/>
      <c r="B7" s="95"/>
      <c r="C7" s="95"/>
      <c r="D7" s="95"/>
      <c r="E7" s="95"/>
      <c r="F7" s="95"/>
      <c r="G7" s="95"/>
      <c r="H7" s="95"/>
      <c r="I7" s="95"/>
      <c r="J7" s="95"/>
      <c r="K7" s="95"/>
    </row>
    <row r="8" spans="1:11">
      <c r="A8" s="95" t="s">
        <v>334</v>
      </c>
      <c r="B8" s="95" t="s">
        <v>399</v>
      </c>
      <c r="C8" s="233">
        <v>1</v>
      </c>
      <c r="D8" s="257">
        <v>50000</v>
      </c>
      <c r="E8" s="96">
        <f>$C8*$D8*12*E$4</f>
        <v>600000</v>
      </c>
      <c r="F8" s="96">
        <f t="shared" ref="F8:K8" si="1">$C8*$D8*12*F$4</f>
        <v>630000</v>
      </c>
      <c r="G8" s="96">
        <f t="shared" si="1"/>
        <v>661500</v>
      </c>
      <c r="H8" s="96">
        <f t="shared" si="1"/>
        <v>694575.00000000012</v>
      </c>
      <c r="I8" s="96">
        <f t="shared" si="1"/>
        <v>729303.75000000012</v>
      </c>
      <c r="J8" s="96">
        <f t="shared" si="1"/>
        <v>765768.93750000023</v>
      </c>
      <c r="K8" s="96">
        <f t="shared" si="1"/>
        <v>804057.38437500026</v>
      </c>
    </row>
    <row r="9" spans="1:11">
      <c r="A9" s="95" t="s">
        <v>191</v>
      </c>
      <c r="B9" s="95" t="s">
        <v>399</v>
      </c>
      <c r="C9" s="233">
        <v>1</v>
      </c>
      <c r="D9" s="257">
        <v>22000</v>
      </c>
      <c r="E9" s="96">
        <f>$C9*$D9*12*E$4</f>
        <v>264000</v>
      </c>
      <c r="F9" s="96">
        <f t="shared" ref="F9:K11" si="2">$C9*$D9*12*F$4</f>
        <v>277200</v>
      </c>
      <c r="G9" s="96">
        <f t="shared" si="2"/>
        <v>291060</v>
      </c>
      <c r="H9" s="96">
        <f t="shared" si="2"/>
        <v>305613.00000000006</v>
      </c>
      <c r="I9" s="96">
        <f t="shared" si="2"/>
        <v>320893.65000000008</v>
      </c>
      <c r="J9" s="96">
        <f t="shared" si="2"/>
        <v>336938.33250000008</v>
      </c>
      <c r="K9" s="96">
        <f t="shared" si="2"/>
        <v>353785.24912500009</v>
      </c>
    </row>
    <row r="10" spans="1:11">
      <c r="A10" s="95" t="s">
        <v>703</v>
      </c>
      <c r="B10" s="95" t="s">
        <v>399</v>
      </c>
      <c r="C10" s="233">
        <v>5</v>
      </c>
      <c r="D10" s="257">
        <v>20000</v>
      </c>
      <c r="E10" s="96">
        <f>$C10*$D10*12*E$4</f>
        <v>1200000</v>
      </c>
      <c r="F10" s="96">
        <f t="shared" si="2"/>
        <v>1260000</v>
      </c>
      <c r="G10" s="96">
        <f t="shared" si="2"/>
        <v>1323000</v>
      </c>
      <c r="H10" s="96">
        <f t="shared" si="2"/>
        <v>1389150.0000000002</v>
      </c>
      <c r="I10" s="96">
        <f t="shared" si="2"/>
        <v>1458607.5000000002</v>
      </c>
      <c r="J10" s="96">
        <f t="shared" si="2"/>
        <v>1531537.8750000005</v>
      </c>
      <c r="K10" s="96">
        <f t="shared" si="2"/>
        <v>1608114.7687500005</v>
      </c>
    </row>
    <row r="11" spans="1:11">
      <c r="A11" s="95" t="s">
        <v>196</v>
      </c>
      <c r="B11" s="95" t="s">
        <v>399</v>
      </c>
      <c r="C11" s="233">
        <v>2</v>
      </c>
      <c r="D11" s="257">
        <v>12000</v>
      </c>
      <c r="E11" s="96">
        <f>$C11*$D11*12*E$4</f>
        <v>288000</v>
      </c>
      <c r="F11" s="96">
        <f t="shared" si="2"/>
        <v>302400</v>
      </c>
      <c r="G11" s="96">
        <f t="shared" si="2"/>
        <v>317520</v>
      </c>
      <c r="H11" s="96">
        <f t="shared" si="2"/>
        <v>333396.00000000006</v>
      </c>
      <c r="I11" s="96">
        <f t="shared" si="2"/>
        <v>350065.80000000005</v>
      </c>
      <c r="J11" s="96">
        <f t="shared" si="2"/>
        <v>367569.09000000008</v>
      </c>
      <c r="K11" s="96">
        <f t="shared" si="2"/>
        <v>385947.54450000013</v>
      </c>
    </row>
    <row r="12" spans="1:11">
      <c r="A12" s="95" t="s">
        <v>131</v>
      </c>
      <c r="B12" s="95" t="s">
        <v>400</v>
      </c>
      <c r="C12" s="95">
        <v>12</v>
      </c>
      <c r="D12" s="257">
        <v>10000</v>
      </c>
      <c r="E12" s="96">
        <f>$C12*$D12*E$4</f>
        <v>120000</v>
      </c>
      <c r="F12" s="96">
        <f t="shared" ref="F12:K16" si="3">$C12*$D12*F$4</f>
        <v>126000</v>
      </c>
      <c r="G12" s="96">
        <f t="shared" si="3"/>
        <v>132300</v>
      </c>
      <c r="H12" s="96">
        <f t="shared" si="3"/>
        <v>138915.00000000003</v>
      </c>
      <c r="I12" s="96">
        <f t="shared" si="3"/>
        <v>145860.75000000003</v>
      </c>
      <c r="J12" s="96">
        <f t="shared" si="3"/>
        <v>153153.78750000003</v>
      </c>
      <c r="K12" s="96">
        <f t="shared" si="3"/>
        <v>160811.47687500005</v>
      </c>
    </row>
    <row r="13" spans="1:11">
      <c r="A13" s="95" t="s">
        <v>10</v>
      </c>
      <c r="B13" s="95" t="s">
        <v>400</v>
      </c>
      <c r="C13" s="95">
        <v>12</v>
      </c>
      <c r="D13" s="257">
        <v>5000</v>
      </c>
      <c r="E13" s="96">
        <f t="shared" ref="E13:E16" si="4">$C13*$D13*E$4</f>
        <v>60000</v>
      </c>
      <c r="F13" s="96">
        <f t="shared" si="3"/>
        <v>63000</v>
      </c>
      <c r="G13" s="96">
        <f t="shared" si="3"/>
        <v>66150</v>
      </c>
      <c r="H13" s="96">
        <f t="shared" si="3"/>
        <v>69457.500000000015</v>
      </c>
      <c r="I13" s="96">
        <f t="shared" si="3"/>
        <v>72930.375000000015</v>
      </c>
      <c r="J13" s="96">
        <f t="shared" si="3"/>
        <v>76576.893750000017</v>
      </c>
      <c r="K13" s="96">
        <f t="shared" si="3"/>
        <v>80405.738437500026</v>
      </c>
    </row>
    <row r="14" spans="1:11">
      <c r="A14" s="95" t="s">
        <v>192</v>
      </c>
      <c r="B14" s="95" t="s">
        <v>400</v>
      </c>
      <c r="C14" s="95">
        <v>12</v>
      </c>
      <c r="D14" s="257">
        <v>5000</v>
      </c>
      <c r="E14" s="96">
        <f t="shared" si="4"/>
        <v>60000</v>
      </c>
      <c r="F14" s="96">
        <f t="shared" si="3"/>
        <v>63000</v>
      </c>
      <c r="G14" s="96">
        <f t="shared" si="3"/>
        <v>66150</v>
      </c>
      <c r="H14" s="96">
        <f t="shared" si="3"/>
        <v>69457.500000000015</v>
      </c>
      <c r="I14" s="96">
        <f t="shared" si="3"/>
        <v>72930.375000000015</v>
      </c>
      <c r="J14" s="96">
        <f t="shared" si="3"/>
        <v>76576.893750000017</v>
      </c>
      <c r="K14" s="96">
        <f t="shared" si="3"/>
        <v>80405.738437500026</v>
      </c>
    </row>
    <row r="15" spans="1:11">
      <c r="A15" s="95" t="s">
        <v>162</v>
      </c>
      <c r="B15" s="95" t="s">
        <v>400</v>
      </c>
      <c r="C15" s="95">
        <v>12</v>
      </c>
      <c r="D15" s="257">
        <v>100</v>
      </c>
      <c r="E15" s="96">
        <f t="shared" si="4"/>
        <v>1200</v>
      </c>
      <c r="F15" s="96">
        <f t="shared" si="3"/>
        <v>1260</v>
      </c>
      <c r="G15" s="96">
        <f t="shared" si="3"/>
        <v>1323</v>
      </c>
      <c r="H15" s="96">
        <f t="shared" si="3"/>
        <v>1389.15</v>
      </c>
      <c r="I15" s="96">
        <f t="shared" si="3"/>
        <v>1458.6075000000003</v>
      </c>
      <c r="J15" s="96">
        <f t="shared" si="3"/>
        <v>1531.5378750000004</v>
      </c>
      <c r="K15" s="96">
        <f t="shared" si="3"/>
        <v>1608.1147687500004</v>
      </c>
    </row>
    <row r="16" spans="1:11">
      <c r="A16" s="95" t="s">
        <v>193</v>
      </c>
      <c r="B16" s="95" t="s">
        <v>400</v>
      </c>
      <c r="C16" s="95">
        <v>12</v>
      </c>
      <c r="D16" s="257">
        <v>10000</v>
      </c>
      <c r="E16" s="96">
        <f t="shared" si="4"/>
        <v>120000</v>
      </c>
      <c r="F16" s="96">
        <f t="shared" si="3"/>
        <v>126000</v>
      </c>
      <c r="G16" s="96">
        <f t="shared" si="3"/>
        <v>132300</v>
      </c>
      <c r="H16" s="96">
        <f t="shared" si="3"/>
        <v>138915.00000000003</v>
      </c>
      <c r="I16" s="96">
        <f t="shared" si="3"/>
        <v>145860.75000000003</v>
      </c>
      <c r="J16" s="96">
        <f t="shared" si="3"/>
        <v>153153.78750000003</v>
      </c>
      <c r="K16" s="96">
        <f t="shared" si="3"/>
        <v>160811.47687500005</v>
      </c>
    </row>
    <row r="17" spans="1:17">
      <c r="A17" s="95" t="s">
        <v>194</v>
      </c>
      <c r="B17" s="95" t="s">
        <v>401</v>
      </c>
      <c r="C17" s="95">
        <v>1</v>
      </c>
      <c r="D17" s="257">
        <v>100000</v>
      </c>
      <c r="E17" s="96">
        <f>$D17*E$4*$C17</f>
        <v>100000</v>
      </c>
      <c r="F17" s="96">
        <f t="shared" ref="F17:K23" si="5">$D17*F$4*$C17</f>
        <v>105000</v>
      </c>
      <c r="G17" s="96">
        <f t="shared" si="5"/>
        <v>110250</v>
      </c>
      <c r="H17" s="96">
        <f t="shared" si="5"/>
        <v>115762.50000000001</v>
      </c>
      <c r="I17" s="96">
        <f t="shared" si="5"/>
        <v>121550.62500000003</v>
      </c>
      <c r="J17" s="96">
        <f t="shared" si="5"/>
        <v>127628.15625000003</v>
      </c>
      <c r="K17" s="96">
        <f t="shared" si="5"/>
        <v>134009.56406250005</v>
      </c>
    </row>
    <row r="18" spans="1:17">
      <c r="A18" s="95"/>
      <c r="B18" s="95"/>
      <c r="C18" s="95"/>
      <c r="D18" s="257"/>
      <c r="E18" s="96">
        <f t="shared" ref="E18:E23" si="6">$D18*E$4*$C18</f>
        <v>0</v>
      </c>
      <c r="F18" s="96">
        <f t="shared" si="5"/>
        <v>0</v>
      </c>
      <c r="G18" s="96">
        <f t="shared" si="5"/>
        <v>0</v>
      </c>
      <c r="H18" s="96">
        <f t="shared" si="5"/>
        <v>0</v>
      </c>
      <c r="I18" s="96">
        <f t="shared" si="5"/>
        <v>0</v>
      </c>
      <c r="J18" s="96">
        <f t="shared" si="5"/>
        <v>0</v>
      </c>
      <c r="K18" s="96">
        <f t="shared" si="5"/>
        <v>0</v>
      </c>
    </row>
    <row r="19" spans="1:17">
      <c r="A19" s="95"/>
      <c r="B19" s="95"/>
      <c r="C19" s="95"/>
      <c r="D19" s="257"/>
      <c r="E19" s="96">
        <f t="shared" si="6"/>
        <v>0</v>
      </c>
      <c r="F19" s="96">
        <f t="shared" si="5"/>
        <v>0</v>
      </c>
      <c r="G19" s="96">
        <f t="shared" si="5"/>
        <v>0</v>
      </c>
      <c r="H19" s="96">
        <f t="shared" si="5"/>
        <v>0</v>
      </c>
      <c r="I19" s="96">
        <f t="shared" si="5"/>
        <v>0</v>
      </c>
      <c r="J19" s="96">
        <f t="shared" si="5"/>
        <v>0</v>
      </c>
      <c r="K19" s="96">
        <f t="shared" si="5"/>
        <v>0</v>
      </c>
    </row>
    <row r="20" spans="1:17">
      <c r="A20" s="95"/>
      <c r="B20" s="95"/>
      <c r="C20" s="95"/>
      <c r="D20" s="257"/>
      <c r="E20" s="96">
        <f t="shared" si="6"/>
        <v>0</v>
      </c>
      <c r="F20" s="96">
        <f t="shared" si="5"/>
        <v>0</v>
      </c>
      <c r="G20" s="96">
        <f t="shared" si="5"/>
        <v>0</v>
      </c>
      <c r="H20" s="96">
        <f t="shared" si="5"/>
        <v>0</v>
      </c>
      <c r="I20" s="96">
        <f t="shared" si="5"/>
        <v>0</v>
      </c>
      <c r="J20" s="96">
        <f t="shared" si="5"/>
        <v>0</v>
      </c>
      <c r="K20" s="96">
        <f t="shared" si="5"/>
        <v>0</v>
      </c>
    </row>
    <row r="21" spans="1:17">
      <c r="A21" s="95"/>
      <c r="B21" s="95"/>
      <c r="C21" s="95"/>
      <c r="D21" s="257"/>
      <c r="E21" s="96">
        <f t="shared" si="6"/>
        <v>0</v>
      </c>
      <c r="F21" s="96">
        <f t="shared" si="5"/>
        <v>0</v>
      </c>
      <c r="G21" s="96">
        <f t="shared" si="5"/>
        <v>0</v>
      </c>
      <c r="H21" s="96">
        <f t="shared" si="5"/>
        <v>0</v>
      </c>
      <c r="I21" s="96">
        <f t="shared" si="5"/>
        <v>0</v>
      </c>
      <c r="J21" s="96">
        <f t="shared" si="5"/>
        <v>0</v>
      </c>
      <c r="K21" s="96">
        <f t="shared" si="5"/>
        <v>0</v>
      </c>
    </row>
    <row r="22" spans="1:17">
      <c r="A22" s="95"/>
      <c r="B22" s="95"/>
      <c r="C22" s="95"/>
      <c r="D22" s="257"/>
      <c r="E22" s="96">
        <f t="shared" si="6"/>
        <v>0</v>
      </c>
      <c r="F22" s="96">
        <f t="shared" si="5"/>
        <v>0</v>
      </c>
      <c r="G22" s="96">
        <f t="shared" si="5"/>
        <v>0</v>
      </c>
      <c r="H22" s="96">
        <f t="shared" si="5"/>
        <v>0</v>
      </c>
      <c r="I22" s="96">
        <f t="shared" si="5"/>
        <v>0</v>
      </c>
      <c r="J22" s="96">
        <f t="shared" si="5"/>
        <v>0</v>
      </c>
      <c r="K22" s="96">
        <f t="shared" si="5"/>
        <v>0</v>
      </c>
    </row>
    <row r="23" spans="1:17">
      <c r="A23" s="95"/>
      <c r="B23" s="95"/>
      <c r="C23" s="95"/>
      <c r="D23" s="96"/>
      <c r="E23" s="96">
        <f t="shared" si="6"/>
        <v>0</v>
      </c>
      <c r="F23" s="96">
        <f t="shared" si="5"/>
        <v>0</v>
      </c>
      <c r="G23" s="96">
        <f t="shared" si="5"/>
        <v>0</v>
      </c>
      <c r="H23" s="96">
        <f t="shared" si="5"/>
        <v>0</v>
      </c>
      <c r="I23" s="96">
        <f t="shared" si="5"/>
        <v>0</v>
      </c>
      <c r="J23" s="96">
        <f t="shared" si="5"/>
        <v>0</v>
      </c>
      <c r="K23" s="96">
        <f t="shared" si="5"/>
        <v>0</v>
      </c>
    </row>
    <row r="24" spans="1:17">
      <c r="A24" s="97" t="s">
        <v>132</v>
      </c>
      <c r="B24" s="97"/>
      <c r="C24" s="97"/>
      <c r="D24" s="115"/>
      <c r="E24" s="115">
        <f>SUM(E8:E23)</f>
        <v>2813200</v>
      </c>
      <c r="F24" s="115">
        <f t="shared" ref="F24:K24" si="7">SUM(F8:F23)</f>
        <v>2953860</v>
      </c>
      <c r="G24" s="115">
        <f t="shared" si="7"/>
        <v>3101553</v>
      </c>
      <c r="H24" s="115">
        <f t="shared" si="7"/>
        <v>3256630.6500000004</v>
      </c>
      <c r="I24" s="115">
        <f t="shared" si="7"/>
        <v>3419462.1825000001</v>
      </c>
      <c r="J24" s="115">
        <f t="shared" si="7"/>
        <v>3590435.2916250001</v>
      </c>
      <c r="K24" s="115">
        <f t="shared" si="7"/>
        <v>3769957.0562062515</v>
      </c>
    </row>
    <row r="29" spans="1:17">
      <c r="A29" s="430"/>
      <c r="B29" s="430"/>
      <c r="C29" s="430"/>
      <c r="D29" s="430"/>
      <c r="E29" s="430"/>
      <c r="F29" s="430"/>
      <c r="G29" s="430"/>
      <c r="H29" s="430"/>
      <c r="I29" s="430"/>
      <c r="J29" s="430"/>
      <c r="K29" s="430"/>
      <c r="L29" s="430"/>
      <c r="M29" s="430"/>
      <c r="N29" s="430"/>
      <c r="O29" s="430"/>
    </row>
    <row r="30" spans="1:17" ht="18.75">
      <c r="A30" s="428" t="s">
        <v>567</v>
      </c>
      <c r="B30" s="428"/>
      <c r="C30" s="428"/>
      <c r="D30" s="428"/>
      <c r="E30" s="428"/>
      <c r="F30" s="428"/>
      <c r="G30" s="428"/>
      <c r="H30" s="428"/>
      <c r="I30" s="428"/>
      <c r="J30" s="428"/>
      <c r="K30" s="428"/>
      <c r="L30" s="428"/>
      <c r="M30" s="428"/>
      <c r="N30" s="428"/>
      <c r="O30" s="428"/>
      <c r="P30" s="428"/>
      <c r="Q30" s="428"/>
    </row>
    <row r="31" spans="1:17" s="13" customFormat="1">
      <c r="A31" s="149"/>
      <c r="B31" s="149"/>
      <c r="C31" s="149"/>
      <c r="D31" s="149"/>
      <c r="E31" s="149"/>
      <c r="F31" s="149"/>
      <c r="G31" s="149"/>
      <c r="H31" s="149"/>
      <c r="I31" s="149"/>
      <c r="J31" s="149"/>
      <c r="K31" s="149"/>
      <c r="L31" s="149"/>
      <c r="M31" s="149"/>
      <c r="N31" s="149"/>
      <c r="O31" s="149"/>
    </row>
    <row r="32" spans="1:17">
      <c r="A32" s="94"/>
      <c r="B32" s="94"/>
      <c r="C32" s="431" t="s">
        <v>197</v>
      </c>
      <c r="D32" s="431"/>
      <c r="E32" s="431"/>
      <c r="F32" s="431"/>
      <c r="G32" s="431"/>
      <c r="H32" s="431"/>
      <c r="I32" s="431"/>
      <c r="J32" s="94"/>
      <c r="K32" s="432" t="s">
        <v>198</v>
      </c>
      <c r="L32" s="432"/>
      <c r="M32" s="432"/>
      <c r="N32" s="432"/>
      <c r="O32" s="432"/>
      <c r="P32" s="432"/>
      <c r="Q32" s="432"/>
    </row>
    <row r="33" spans="1:17">
      <c r="A33" s="169" t="s">
        <v>0</v>
      </c>
      <c r="B33" s="162"/>
      <c r="C33" s="59" t="s">
        <v>2</v>
      </c>
      <c r="D33" s="59" t="s">
        <v>3</v>
      </c>
      <c r="E33" s="59" t="s">
        <v>4</v>
      </c>
      <c r="F33" s="59" t="s">
        <v>5</v>
      </c>
      <c r="G33" s="59" t="s">
        <v>6</v>
      </c>
      <c r="H33" s="59" t="s">
        <v>171</v>
      </c>
      <c r="I33" s="59" t="s">
        <v>170</v>
      </c>
      <c r="J33" s="170"/>
      <c r="K33" s="59" t="s">
        <v>2</v>
      </c>
      <c r="L33" s="59" t="s">
        <v>3</v>
      </c>
      <c r="M33" s="59" t="s">
        <v>4</v>
      </c>
      <c r="N33" s="59" t="s">
        <v>5</v>
      </c>
      <c r="O33" s="59" t="s">
        <v>6</v>
      </c>
      <c r="P33" s="59" t="s">
        <v>171</v>
      </c>
      <c r="Q33" s="59" t="s">
        <v>170</v>
      </c>
    </row>
    <row r="34" spans="1:17">
      <c r="A34" s="163" t="s">
        <v>199</v>
      </c>
      <c r="B34" s="99"/>
      <c r="C34" s="99"/>
      <c r="D34" s="99"/>
      <c r="E34" s="99"/>
      <c r="F34" s="99"/>
      <c r="G34" s="164"/>
      <c r="H34" s="164"/>
      <c r="I34" s="164"/>
      <c r="J34" s="99"/>
      <c r="K34" s="99"/>
      <c r="L34" s="99"/>
      <c r="M34" s="99"/>
      <c r="N34" s="99"/>
      <c r="O34" s="164"/>
      <c r="P34" s="164"/>
      <c r="Q34" s="164"/>
    </row>
    <row r="35" spans="1:17">
      <c r="A35" s="163"/>
      <c r="B35" s="99"/>
      <c r="C35" s="99"/>
      <c r="D35" s="99"/>
      <c r="E35" s="99"/>
      <c r="F35" s="99"/>
      <c r="G35" s="164"/>
      <c r="H35" s="164"/>
      <c r="I35" s="164"/>
      <c r="J35" s="99"/>
      <c r="K35" s="99"/>
      <c r="L35" s="99"/>
      <c r="M35" s="99"/>
      <c r="N35" s="99"/>
      <c r="O35" s="164"/>
      <c r="P35" s="164"/>
      <c r="Q35" s="164"/>
    </row>
    <row r="36" spans="1:17">
      <c r="A36" s="165"/>
      <c r="B36" s="165"/>
      <c r="C36" s="99"/>
      <c r="D36" s="99"/>
      <c r="E36" s="99"/>
      <c r="F36" s="99"/>
      <c r="G36" s="99"/>
      <c r="H36" s="99"/>
      <c r="I36" s="99"/>
      <c r="J36" s="99"/>
      <c r="K36" s="99"/>
      <c r="L36" s="99"/>
      <c r="M36" s="99"/>
      <c r="N36" s="99"/>
      <c r="O36" s="99"/>
      <c r="P36" s="99"/>
      <c r="Q36" s="99"/>
    </row>
    <row r="37" spans="1:17">
      <c r="A37" s="166" t="s">
        <v>203</v>
      </c>
      <c r="B37" s="166"/>
      <c r="C37" s="99"/>
      <c r="D37" s="99"/>
      <c r="E37" s="99"/>
      <c r="F37" s="99"/>
      <c r="G37" s="99"/>
      <c r="H37" s="99"/>
      <c r="I37" s="99"/>
      <c r="J37" s="99"/>
      <c r="K37" s="99"/>
      <c r="L37" s="99"/>
      <c r="M37" s="99"/>
      <c r="N37" s="99"/>
      <c r="O37" s="99"/>
      <c r="P37" s="99"/>
      <c r="Q37" s="99"/>
    </row>
    <row r="38" spans="1:17">
      <c r="A38" s="165" t="s">
        <v>200</v>
      </c>
      <c r="B38" s="165"/>
      <c r="C38" s="167">
        <f>'1.Project Cost and MOF'!D5</f>
        <v>21653053</v>
      </c>
      <c r="D38" s="167">
        <f t="shared" ref="D38:I38" si="8">C41</f>
        <v>20966651.219900001</v>
      </c>
      <c r="E38" s="167">
        <f t="shared" si="8"/>
        <v>20280249.439800002</v>
      </c>
      <c r="F38" s="167">
        <f t="shared" si="8"/>
        <v>19593847.659700003</v>
      </c>
      <c r="G38" s="167">
        <f t="shared" si="8"/>
        <v>18907445.879600003</v>
      </c>
      <c r="H38" s="167">
        <f t="shared" si="8"/>
        <v>18221044.099500004</v>
      </c>
      <c r="I38" s="167">
        <f t="shared" si="8"/>
        <v>17534642.319400005</v>
      </c>
      <c r="J38" s="99"/>
      <c r="K38" s="167">
        <f>C38</f>
        <v>21653053</v>
      </c>
      <c r="L38" s="167">
        <f t="shared" ref="L38:Q38" si="9">K41</f>
        <v>19487747.699999999</v>
      </c>
      <c r="M38" s="167">
        <f t="shared" si="9"/>
        <v>17538972.93</v>
      </c>
      <c r="N38" s="167">
        <f t="shared" si="9"/>
        <v>15785075.637</v>
      </c>
      <c r="O38" s="167">
        <f t="shared" si="9"/>
        <v>14206568.0733</v>
      </c>
      <c r="P38" s="167">
        <f t="shared" si="9"/>
        <v>12785911.265969999</v>
      </c>
      <c r="Q38" s="167">
        <f t="shared" si="9"/>
        <v>11507320.139372999</v>
      </c>
    </row>
    <row r="39" spans="1:17">
      <c r="A39" s="165" t="s">
        <v>17</v>
      </c>
      <c r="B39" s="165"/>
      <c r="C39" s="167">
        <f t="shared" ref="C39:I39" si="10">$C$38*$B$75</f>
        <v>686401.78009999997</v>
      </c>
      <c r="D39" s="167">
        <f t="shared" si="10"/>
        <v>686401.78009999997</v>
      </c>
      <c r="E39" s="167">
        <f t="shared" si="10"/>
        <v>686401.78009999997</v>
      </c>
      <c r="F39" s="167">
        <f t="shared" si="10"/>
        <v>686401.78009999997</v>
      </c>
      <c r="G39" s="167">
        <f t="shared" si="10"/>
        <v>686401.78009999997</v>
      </c>
      <c r="H39" s="167">
        <f t="shared" si="10"/>
        <v>686401.78009999997</v>
      </c>
      <c r="I39" s="167">
        <f t="shared" si="10"/>
        <v>686401.78009999997</v>
      </c>
      <c r="J39" s="99"/>
      <c r="K39" s="167">
        <f t="shared" ref="K39:Q39" si="11">K38*$C$75</f>
        <v>2165305.3000000003</v>
      </c>
      <c r="L39" s="167">
        <f t="shared" si="11"/>
        <v>1948774.77</v>
      </c>
      <c r="M39" s="167">
        <f t="shared" si="11"/>
        <v>1753897.2930000001</v>
      </c>
      <c r="N39" s="167">
        <f t="shared" si="11"/>
        <v>1578507.5637000001</v>
      </c>
      <c r="O39" s="167">
        <f t="shared" si="11"/>
        <v>1420656.8073300002</v>
      </c>
      <c r="P39" s="167">
        <f t="shared" si="11"/>
        <v>1278591.1265970001</v>
      </c>
      <c r="Q39" s="167">
        <f t="shared" si="11"/>
        <v>1150732.0139372998</v>
      </c>
    </row>
    <row r="40" spans="1:17">
      <c r="A40" s="165" t="s">
        <v>201</v>
      </c>
      <c r="B40" s="165"/>
      <c r="C40" s="167">
        <f>C39</f>
        <v>686401.78009999997</v>
      </c>
      <c r="D40" s="167">
        <f t="shared" ref="D40:I40" si="12">C40+D39</f>
        <v>1372803.5601999999</v>
      </c>
      <c r="E40" s="167">
        <f t="shared" si="12"/>
        <v>2059205.3402999998</v>
      </c>
      <c r="F40" s="167">
        <f t="shared" si="12"/>
        <v>2745607.1203999999</v>
      </c>
      <c r="G40" s="167">
        <f t="shared" si="12"/>
        <v>3432008.9005</v>
      </c>
      <c r="H40" s="167">
        <f t="shared" si="12"/>
        <v>4118410.6806000001</v>
      </c>
      <c r="I40" s="167">
        <f t="shared" si="12"/>
        <v>4804812.4606999997</v>
      </c>
      <c r="J40" s="99"/>
      <c r="K40" s="167">
        <f>K39</f>
        <v>2165305.3000000003</v>
      </c>
      <c r="L40" s="167">
        <f t="shared" ref="L40:Q40" si="13">K40+L39</f>
        <v>4114080.0700000003</v>
      </c>
      <c r="M40" s="167">
        <f t="shared" si="13"/>
        <v>5867977.3629999999</v>
      </c>
      <c r="N40" s="167">
        <f t="shared" si="13"/>
        <v>7446484.9266999997</v>
      </c>
      <c r="O40" s="167">
        <f t="shared" si="13"/>
        <v>8867141.7340300009</v>
      </c>
      <c r="P40" s="167">
        <f t="shared" si="13"/>
        <v>10145732.860627001</v>
      </c>
      <c r="Q40" s="167">
        <f t="shared" si="13"/>
        <v>11296464.874564301</v>
      </c>
    </row>
    <row r="41" spans="1:17">
      <c r="A41" s="165" t="s">
        <v>202</v>
      </c>
      <c r="B41" s="165"/>
      <c r="C41" s="167">
        <f t="shared" ref="C41:I41" si="14">C38-C39</f>
        <v>20966651.219900001</v>
      </c>
      <c r="D41" s="167">
        <f t="shared" si="14"/>
        <v>20280249.439800002</v>
      </c>
      <c r="E41" s="167">
        <f t="shared" si="14"/>
        <v>19593847.659700003</v>
      </c>
      <c r="F41" s="167">
        <f t="shared" si="14"/>
        <v>18907445.879600003</v>
      </c>
      <c r="G41" s="167">
        <f t="shared" si="14"/>
        <v>18221044.099500004</v>
      </c>
      <c r="H41" s="167">
        <f t="shared" si="14"/>
        <v>17534642.319400005</v>
      </c>
      <c r="I41" s="167">
        <f t="shared" si="14"/>
        <v>16848240.539300006</v>
      </c>
      <c r="J41" s="99"/>
      <c r="K41" s="167">
        <f t="shared" ref="K41:Q41" si="15">K38-K39</f>
        <v>19487747.699999999</v>
      </c>
      <c r="L41" s="167">
        <f t="shared" si="15"/>
        <v>17538972.93</v>
      </c>
      <c r="M41" s="167">
        <f t="shared" si="15"/>
        <v>15785075.637</v>
      </c>
      <c r="N41" s="167">
        <f t="shared" si="15"/>
        <v>14206568.0733</v>
      </c>
      <c r="O41" s="167">
        <f t="shared" si="15"/>
        <v>12785911.265969999</v>
      </c>
      <c r="P41" s="167">
        <f t="shared" si="15"/>
        <v>11507320.139372999</v>
      </c>
      <c r="Q41" s="167">
        <f t="shared" si="15"/>
        <v>10356588.125435699</v>
      </c>
    </row>
    <row r="42" spans="1:17">
      <c r="A42" s="165"/>
      <c r="B42" s="165"/>
      <c r="C42" s="167"/>
      <c r="D42" s="167"/>
      <c r="E42" s="167"/>
      <c r="F42" s="167"/>
      <c r="G42" s="167"/>
      <c r="H42" s="167"/>
      <c r="I42" s="167"/>
      <c r="J42" s="99"/>
      <c r="K42" s="167"/>
      <c r="L42" s="167"/>
      <c r="M42" s="167"/>
      <c r="N42" s="167"/>
      <c r="O42" s="167"/>
      <c r="P42" s="167"/>
      <c r="Q42" s="167"/>
    </row>
    <row r="43" spans="1:17">
      <c r="A43" s="166" t="s">
        <v>204</v>
      </c>
      <c r="B43" s="166"/>
      <c r="C43" s="167"/>
      <c r="D43" s="167"/>
      <c r="E43" s="167"/>
      <c r="F43" s="167"/>
      <c r="G43" s="167"/>
      <c r="H43" s="167"/>
      <c r="I43" s="167"/>
      <c r="J43" s="99"/>
      <c r="K43" s="167"/>
      <c r="L43" s="167"/>
      <c r="M43" s="167"/>
      <c r="N43" s="167"/>
      <c r="O43" s="167"/>
      <c r="P43" s="167"/>
      <c r="Q43" s="167"/>
    </row>
    <row r="44" spans="1:17">
      <c r="A44" s="165" t="s">
        <v>200</v>
      </c>
      <c r="B44" s="165"/>
      <c r="C44" s="167">
        <f>'1.Project Cost and MOF'!D6</f>
        <v>3323300</v>
      </c>
      <c r="D44" s="167">
        <f t="shared" ref="D44:I44" si="16">C47</f>
        <v>3112935.11</v>
      </c>
      <c r="E44" s="167">
        <f t="shared" si="16"/>
        <v>2902570.2199999997</v>
      </c>
      <c r="F44" s="167">
        <f t="shared" si="16"/>
        <v>2692205.3299999996</v>
      </c>
      <c r="G44" s="167">
        <f t="shared" si="16"/>
        <v>2481840.4399999995</v>
      </c>
      <c r="H44" s="167">
        <f t="shared" si="16"/>
        <v>2271475.5499999993</v>
      </c>
      <c r="I44" s="167">
        <f t="shared" si="16"/>
        <v>2061110.6599999995</v>
      </c>
      <c r="J44" s="99"/>
      <c r="K44" s="167">
        <f>C44</f>
        <v>3323300</v>
      </c>
      <c r="L44" s="167">
        <f t="shared" ref="L44:Q44" si="17">K47</f>
        <v>2824805</v>
      </c>
      <c r="M44" s="167">
        <f t="shared" si="17"/>
        <v>2401084.25</v>
      </c>
      <c r="N44" s="167">
        <f t="shared" si="17"/>
        <v>2040921.6125</v>
      </c>
      <c r="O44" s="167">
        <f t="shared" si="17"/>
        <v>1734783.370625</v>
      </c>
      <c r="P44" s="167">
        <f t="shared" si="17"/>
        <v>1474565.8650312501</v>
      </c>
      <c r="Q44" s="167">
        <f t="shared" si="17"/>
        <v>1253380.9852765626</v>
      </c>
    </row>
    <row r="45" spans="1:17">
      <c r="A45" s="165" t="s">
        <v>17</v>
      </c>
      <c r="B45" s="165"/>
      <c r="C45" s="167">
        <f t="shared" ref="C45:I45" si="18">$C$44*$B$79</f>
        <v>210364.88999999998</v>
      </c>
      <c r="D45" s="167">
        <f t="shared" si="18"/>
        <v>210364.88999999998</v>
      </c>
      <c r="E45" s="167">
        <f t="shared" si="18"/>
        <v>210364.88999999998</v>
      </c>
      <c r="F45" s="167">
        <f t="shared" si="18"/>
        <v>210364.88999999998</v>
      </c>
      <c r="G45" s="167">
        <f t="shared" si="18"/>
        <v>210364.88999999998</v>
      </c>
      <c r="H45" s="167">
        <f t="shared" si="18"/>
        <v>210364.88999999998</v>
      </c>
      <c r="I45" s="167">
        <f t="shared" si="18"/>
        <v>210364.88999999998</v>
      </c>
      <c r="J45" s="99"/>
      <c r="K45" s="167">
        <f t="shared" ref="K45:Q45" si="19">K44*$C$79</f>
        <v>498495</v>
      </c>
      <c r="L45" s="167">
        <f t="shared" si="19"/>
        <v>423720.75</v>
      </c>
      <c r="M45" s="167">
        <f t="shared" si="19"/>
        <v>360162.63750000001</v>
      </c>
      <c r="N45" s="167">
        <f t="shared" si="19"/>
        <v>306138.24187500001</v>
      </c>
      <c r="O45" s="167">
        <f t="shared" si="19"/>
        <v>260217.50559374999</v>
      </c>
      <c r="P45" s="167">
        <f t="shared" si="19"/>
        <v>221184.87975468751</v>
      </c>
      <c r="Q45" s="167">
        <f t="shared" si="19"/>
        <v>188007.1477914844</v>
      </c>
    </row>
    <row r="46" spans="1:17">
      <c r="A46" s="165" t="s">
        <v>201</v>
      </c>
      <c r="B46" s="165"/>
      <c r="C46" s="167">
        <f>C45</f>
        <v>210364.88999999998</v>
      </c>
      <c r="D46" s="167">
        <f t="shared" ref="D46:I46" si="20">C46+D45</f>
        <v>420729.77999999997</v>
      </c>
      <c r="E46" s="167">
        <f t="shared" si="20"/>
        <v>631094.66999999993</v>
      </c>
      <c r="F46" s="167">
        <f t="shared" si="20"/>
        <v>841459.55999999994</v>
      </c>
      <c r="G46" s="167">
        <f t="shared" si="20"/>
        <v>1051824.45</v>
      </c>
      <c r="H46" s="167">
        <f t="shared" si="20"/>
        <v>1262189.3399999999</v>
      </c>
      <c r="I46" s="167">
        <f t="shared" si="20"/>
        <v>1472554.2299999997</v>
      </c>
      <c r="J46" s="99"/>
      <c r="K46" s="167">
        <f>K45</f>
        <v>498495</v>
      </c>
      <c r="L46" s="167">
        <f t="shared" ref="L46:Q46" si="21">K46+L45</f>
        <v>922215.75</v>
      </c>
      <c r="M46" s="167">
        <f t="shared" si="21"/>
        <v>1282378.3875</v>
      </c>
      <c r="N46" s="167">
        <f t="shared" si="21"/>
        <v>1588516.629375</v>
      </c>
      <c r="O46" s="167">
        <f t="shared" si="21"/>
        <v>1848734.1349687499</v>
      </c>
      <c r="P46" s="167">
        <f t="shared" si="21"/>
        <v>2069919.0147234374</v>
      </c>
      <c r="Q46" s="167">
        <f t="shared" si="21"/>
        <v>2257926.1625149217</v>
      </c>
    </row>
    <row r="47" spans="1:17">
      <c r="A47" s="165" t="s">
        <v>202</v>
      </c>
      <c r="B47" s="165"/>
      <c r="C47" s="167">
        <f t="shared" ref="C47:I47" si="22">C44-C45</f>
        <v>3112935.11</v>
      </c>
      <c r="D47" s="167">
        <f t="shared" si="22"/>
        <v>2902570.2199999997</v>
      </c>
      <c r="E47" s="167">
        <f t="shared" si="22"/>
        <v>2692205.3299999996</v>
      </c>
      <c r="F47" s="167">
        <f t="shared" si="22"/>
        <v>2481840.4399999995</v>
      </c>
      <c r="G47" s="167">
        <f t="shared" si="22"/>
        <v>2271475.5499999993</v>
      </c>
      <c r="H47" s="167">
        <f t="shared" si="22"/>
        <v>2061110.6599999995</v>
      </c>
      <c r="I47" s="167">
        <f t="shared" si="22"/>
        <v>1850745.7699999996</v>
      </c>
      <c r="J47" s="99"/>
      <c r="K47" s="167">
        <f t="shared" ref="K47:Q47" si="23">K44-K45</f>
        <v>2824805</v>
      </c>
      <c r="L47" s="167">
        <f t="shared" si="23"/>
        <v>2401084.25</v>
      </c>
      <c r="M47" s="167">
        <f t="shared" si="23"/>
        <v>2040921.6125</v>
      </c>
      <c r="N47" s="167">
        <f t="shared" si="23"/>
        <v>1734783.370625</v>
      </c>
      <c r="O47" s="167">
        <f t="shared" si="23"/>
        <v>1474565.8650312501</v>
      </c>
      <c r="P47" s="167">
        <f t="shared" si="23"/>
        <v>1253380.9852765626</v>
      </c>
      <c r="Q47" s="167">
        <f t="shared" si="23"/>
        <v>1065373.8374850783</v>
      </c>
    </row>
    <row r="48" spans="1:17">
      <c r="A48" s="165"/>
      <c r="B48" s="165"/>
      <c r="C48" s="167"/>
      <c r="D48" s="167"/>
      <c r="E48" s="167"/>
      <c r="F48" s="167"/>
      <c r="G48" s="167"/>
      <c r="H48" s="167"/>
      <c r="I48" s="167"/>
      <c r="J48" s="99"/>
      <c r="K48" s="167"/>
      <c r="L48" s="167"/>
      <c r="M48" s="167"/>
      <c r="N48" s="167"/>
      <c r="O48" s="167"/>
      <c r="P48" s="167"/>
      <c r="Q48" s="167"/>
    </row>
    <row r="49" spans="1:17">
      <c r="A49" s="166" t="s">
        <v>205</v>
      </c>
      <c r="B49" s="166"/>
      <c r="C49" s="167"/>
      <c r="D49" s="167"/>
      <c r="E49" s="167"/>
      <c r="F49" s="167"/>
      <c r="G49" s="167"/>
      <c r="H49" s="167"/>
      <c r="I49" s="167"/>
      <c r="J49" s="99"/>
      <c r="K49" s="167"/>
      <c r="L49" s="167"/>
      <c r="M49" s="167"/>
      <c r="N49" s="167"/>
      <c r="O49" s="167"/>
      <c r="P49" s="167"/>
      <c r="Q49" s="167"/>
    </row>
    <row r="50" spans="1:17">
      <c r="A50" s="165" t="s">
        <v>200</v>
      </c>
      <c r="B50" s="165"/>
      <c r="C50" s="167">
        <f>'1.Project Cost and MOF'!D7</f>
        <v>601357.98</v>
      </c>
      <c r="D50" s="167">
        <f t="shared" ref="D50:I50" si="24">C53</f>
        <v>541222.18200000003</v>
      </c>
      <c r="E50" s="167">
        <f t="shared" si="24"/>
        <v>481086.38400000002</v>
      </c>
      <c r="F50" s="167">
        <f t="shared" si="24"/>
        <v>420950.58600000001</v>
      </c>
      <c r="G50" s="167">
        <f t="shared" si="24"/>
        <v>360814.788</v>
      </c>
      <c r="H50" s="167">
        <f t="shared" si="24"/>
        <v>300678.99</v>
      </c>
      <c r="I50" s="167">
        <f t="shared" si="24"/>
        <v>240543.19199999998</v>
      </c>
      <c r="J50" s="99"/>
      <c r="K50" s="167">
        <f>C50</f>
        <v>601357.98</v>
      </c>
      <c r="L50" s="167">
        <f t="shared" ref="L50:Q50" si="25">K53</f>
        <v>541222.18200000003</v>
      </c>
      <c r="M50" s="167">
        <f t="shared" si="25"/>
        <v>487099.96380000003</v>
      </c>
      <c r="N50" s="167">
        <f t="shared" si="25"/>
        <v>438389.96742</v>
      </c>
      <c r="O50" s="167">
        <f t="shared" si="25"/>
        <v>394550.97067800001</v>
      </c>
      <c r="P50" s="167">
        <f t="shared" si="25"/>
        <v>355095.87361020001</v>
      </c>
      <c r="Q50" s="167">
        <f t="shared" si="25"/>
        <v>319586.28624918003</v>
      </c>
    </row>
    <row r="51" spans="1:17">
      <c r="A51" s="165" t="s">
        <v>17</v>
      </c>
      <c r="B51" s="165"/>
      <c r="C51" s="167">
        <f t="shared" ref="C51:I51" si="26">$C$50*$B$76</f>
        <v>60135.798000000003</v>
      </c>
      <c r="D51" s="167">
        <f t="shared" si="26"/>
        <v>60135.798000000003</v>
      </c>
      <c r="E51" s="167">
        <f t="shared" si="26"/>
        <v>60135.798000000003</v>
      </c>
      <c r="F51" s="167">
        <f t="shared" si="26"/>
        <v>60135.798000000003</v>
      </c>
      <c r="G51" s="167">
        <f t="shared" si="26"/>
        <v>60135.798000000003</v>
      </c>
      <c r="H51" s="167">
        <f t="shared" si="26"/>
        <v>60135.798000000003</v>
      </c>
      <c r="I51" s="167">
        <f t="shared" si="26"/>
        <v>60135.798000000003</v>
      </c>
      <c r="J51" s="99"/>
      <c r="K51" s="167">
        <f t="shared" ref="K51:Q51" si="27">K50*$C$76</f>
        <v>60135.798000000003</v>
      </c>
      <c r="L51" s="167">
        <f t="shared" si="27"/>
        <v>54122.218200000003</v>
      </c>
      <c r="M51" s="167">
        <f t="shared" si="27"/>
        <v>48709.996380000004</v>
      </c>
      <c r="N51" s="167">
        <f t="shared" si="27"/>
        <v>43838.996742000003</v>
      </c>
      <c r="O51" s="167">
        <f t="shared" si="27"/>
        <v>39455.097067800001</v>
      </c>
      <c r="P51" s="167">
        <f t="shared" si="27"/>
        <v>35509.58736102</v>
      </c>
      <c r="Q51" s="167">
        <f t="shared" si="27"/>
        <v>31958.628624918005</v>
      </c>
    </row>
    <row r="52" spans="1:17">
      <c r="A52" s="165" t="s">
        <v>201</v>
      </c>
      <c r="B52" s="165"/>
      <c r="C52" s="167">
        <f>C51</f>
        <v>60135.798000000003</v>
      </c>
      <c r="D52" s="167">
        <f t="shared" ref="D52:I52" si="28">C52+D51</f>
        <v>120271.59600000001</v>
      </c>
      <c r="E52" s="167">
        <f t="shared" si="28"/>
        <v>180407.394</v>
      </c>
      <c r="F52" s="167">
        <f t="shared" si="28"/>
        <v>240543.19200000001</v>
      </c>
      <c r="G52" s="167">
        <f t="shared" si="28"/>
        <v>300678.99</v>
      </c>
      <c r="H52" s="167">
        <f t="shared" si="28"/>
        <v>360814.788</v>
      </c>
      <c r="I52" s="167">
        <f t="shared" si="28"/>
        <v>420950.58600000001</v>
      </c>
      <c r="J52" s="99"/>
      <c r="K52" s="167">
        <f>K51</f>
        <v>60135.798000000003</v>
      </c>
      <c r="L52" s="167">
        <f t="shared" ref="L52:Q52" si="29">K52+L51</f>
        <v>114258.01620000001</v>
      </c>
      <c r="M52" s="167">
        <f t="shared" si="29"/>
        <v>162968.01258000001</v>
      </c>
      <c r="N52" s="167">
        <f t="shared" si="29"/>
        <v>206807.00932200003</v>
      </c>
      <c r="O52" s="167">
        <f t="shared" si="29"/>
        <v>246262.10638980003</v>
      </c>
      <c r="P52" s="167">
        <f t="shared" si="29"/>
        <v>281771.69375082001</v>
      </c>
      <c r="Q52" s="167">
        <f t="shared" si="29"/>
        <v>313730.322375738</v>
      </c>
    </row>
    <row r="53" spans="1:17">
      <c r="A53" s="165" t="s">
        <v>202</v>
      </c>
      <c r="B53" s="165"/>
      <c r="C53" s="167">
        <f t="shared" ref="C53:I53" si="30">C50-C51</f>
        <v>541222.18200000003</v>
      </c>
      <c r="D53" s="167">
        <f t="shared" si="30"/>
        <v>481086.38400000002</v>
      </c>
      <c r="E53" s="167">
        <f t="shared" si="30"/>
        <v>420950.58600000001</v>
      </c>
      <c r="F53" s="167">
        <f t="shared" si="30"/>
        <v>360814.788</v>
      </c>
      <c r="G53" s="167">
        <f t="shared" si="30"/>
        <v>300678.99</v>
      </c>
      <c r="H53" s="167">
        <f t="shared" si="30"/>
        <v>240543.19199999998</v>
      </c>
      <c r="I53" s="167">
        <f t="shared" si="30"/>
        <v>180407.39399999997</v>
      </c>
      <c r="J53" s="99"/>
      <c r="K53" s="167">
        <f t="shared" ref="K53:Q53" si="31">K50-K51</f>
        <v>541222.18200000003</v>
      </c>
      <c r="L53" s="167">
        <f t="shared" si="31"/>
        <v>487099.96380000003</v>
      </c>
      <c r="M53" s="167">
        <f t="shared" si="31"/>
        <v>438389.96742</v>
      </c>
      <c r="N53" s="167">
        <f t="shared" si="31"/>
        <v>394550.97067800001</v>
      </c>
      <c r="O53" s="167">
        <f t="shared" si="31"/>
        <v>355095.87361020001</v>
      </c>
      <c r="P53" s="167">
        <f t="shared" si="31"/>
        <v>319586.28624918003</v>
      </c>
      <c r="Q53" s="167">
        <f t="shared" si="31"/>
        <v>287627.65762426204</v>
      </c>
    </row>
    <row r="54" spans="1:17">
      <c r="A54" s="165"/>
      <c r="B54" s="165"/>
      <c r="C54" s="167"/>
      <c r="D54" s="167"/>
      <c r="E54" s="167"/>
      <c r="F54" s="167"/>
      <c r="G54" s="167"/>
      <c r="H54" s="167"/>
      <c r="I54" s="167"/>
      <c r="J54" s="99"/>
      <c r="K54" s="167"/>
      <c r="L54" s="167"/>
      <c r="M54" s="167"/>
      <c r="N54" s="167"/>
      <c r="O54" s="167"/>
      <c r="P54" s="167"/>
      <c r="Q54" s="167"/>
    </row>
    <row r="55" spans="1:17">
      <c r="A55" s="166" t="s">
        <v>161</v>
      </c>
      <c r="B55" s="166"/>
      <c r="C55" s="167"/>
      <c r="D55" s="167"/>
      <c r="E55" s="167"/>
      <c r="F55" s="167"/>
      <c r="G55" s="167"/>
      <c r="H55" s="167"/>
      <c r="I55" s="167"/>
      <c r="J55" s="99"/>
      <c r="K55" s="167"/>
      <c r="L55" s="167"/>
      <c r="M55" s="167"/>
      <c r="N55" s="167"/>
      <c r="O55" s="167"/>
      <c r="P55" s="167"/>
      <c r="Q55" s="167"/>
    </row>
    <row r="56" spans="1:17">
      <c r="A56" s="165" t="s">
        <v>200</v>
      </c>
      <c r="B56" s="165"/>
      <c r="C56" s="167">
        <f>'1.Project Cost and MOF'!D9</f>
        <v>0</v>
      </c>
      <c r="D56" s="167">
        <f t="shared" ref="D56:I56" si="32">C59</f>
        <v>0</v>
      </c>
      <c r="E56" s="167">
        <f t="shared" si="32"/>
        <v>0</v>
      </c>
      <c r="F56" s="167">
        <f t="shared" si="32"/>
        <v>0</v>
      </c>
      <c r="G56" s="167">
        <f t="shared" si="32"/>
        <v>0</v>
      </c>
      <c r="H56" s="167">
        <f t="shared" si="32"/>
        <v>0</v>
      </c>
      <c r="I56" s="167">
        <f t="shared" si="32"/>
        <v>0</v>
      </c>
      <c r="J56" s="99"/>
      <c r="K56" s="167">
        <f>C56</f>
        <v>0</v>
      </c>
      <c r="L56" s="167">
        <f t="shared" ref="L56:Q56" si="33">K59</f>
        <v>0</v>
      </c>
      <c r="M56" s="167">
        <f t="shared" si="33"/>
        <v>0</v>
      </c>
      <c r="N56" s="167">
        <f t="shared" si="33"/>
        <v>0</v>
      </c>
      <c r="O56" s="167">
        <f t="shared" si="33"/>
        <v>0</v>
      </c>
      <c r="P56" s="167">
        <f t="shared" si="33"/>
        <v>0</v>
      </c>
      <c r="Q56" s="167">
        <f t="shared" si="33"/>
        <v>0</v>
      </c>
    </row>
    <row r="57" spans="1:17">
      <c r="A57" s="165" t="s">
        <v>17</v>
      </c>
      <c r="B57" s="165"/>
      <c r="C57" s="167">
        <f t="shared" ref="C57:I57" si="34">$C$56*$B$78</f>
        <v>0</v>
      </c>
      <c r="D57" s="167">
        <f t="shared" si="34"/>
        <v>0</v>
      </c>
      <c r="E57" s="167">
        <f t="shared" si="34"/>
        <v>0</v>
      </c>
      <c r="F57" s="167">
        <f t="shared" si="34"/>
        <v>0</v>
      </c>
      <c r="G57" s="167">
        <f t="shared" si="34"/>
        <v>0</v>
      </c>
      <c r="H57" s="167">
        <f t="shared" si="34"/>
        <v>0</v>
      </c>
      <c r="I57" s="167">
        <f t="shared" si="34"/>
        <v>0</v>
      </c>
      <c r="J57" s="99"/>
      <c r="K57" s="167">
        <f t="shared" ref="K57:Q57" si="35">K56*$C$78</f>
        <v>0</v>
      </c>
      <c r="L57" s="167">
        <f t="shared" si="35"/>
        <v>0</v>
      </c>
      <c r="M57" s="167">
        <f t="shared" si="35"/>
        <v>0</v>
      </c>
      <c r="N57" s="167">
        <f t="shared" si="35"/>
        <v>0</v>
      </c>
      <c r="O57" s="167">
        <f t="shared" si="35"/>
        <v>0</v>
      </c>
      <c r="P57" s="167">
        <f t="shared" si="35"/>
        <v>0</v>
      </c>
      <c r="Q57" s="167">
        <f t="shared" si="35"/>
        <v>0</v>
      </c>
    </row>
    <row r="58" spans="1:17">
      <c r="A58" s="165" t="s">
        <v>201</v>
      </c>
      <c r="B58" s="165"/>
      <c r="C58" s="167">
        <f>C57</f>
        <v>0</v>
      </c>
      <c r="D58" s="167">
        <f t="shared" ref="D58:I58" si="36">C58+D57</f>
        <v>0</v>
      </c>
      <c r="E58" s="167">
        <f t="shared" si="36"/>
        <v>0</v>
      </c>
      <c r="F58" s="167">
        <f t="shared" si="36"/>
        <v>0</v>
      </c>
      <c r="G58" s="167">
        <f t="shared" si="36"/>
        <v>0</v>
      </c>
      <c r="H58" s="167">
        <f t="shared" si="36"/>
        <v>0</v>
      </c>
      <c r="I58" s="167">
        <f t="shared" si="36"/>
        <v>0</v>
      </c>
      <c r="J58" s="99"/>
      <c r="K58" s="167">
        <f>K57</f>
        <v>0</v>
      </c>
      <c r="L58" s="167">
        <f t="shared" ref="L58:Q58" si="37">K58+L57</f>
        <v>0</v>
      </c>
      <c r="M58" s="167">
        <f t="shared" si="37"/>
        <v>0</v>
      </c>
      <c r="N58" s="167">
        <f t="shared" si="37"/>
        <v>0</v>
      </c>
      <c r="O58" s="167">
        <f t="shared" si="37"/>
        <v>0</v>
      </c>
      <c r="P58" s="167">
        <f t="shared" si="37"/>
        <v>0</v>
      </c>
      <c r="Q58" s="167">
        <f t="shared" si="37"/>
        <v>0</v>
      </c>
    </row>
    <row r="59" spans="1:17">
      <c r="A59" s="165" t="s">
        <v>202</v>
      </c>
      <c r="B59" s="165"/>
      <c r="C59" s="167">
        <f t="shared" ref="C59:I59" si="38">C56-C57</f>
        <v>0</v>
      </c>
      <c r="D59" s="167">
        <f t="shared" si="38"/>
        <v>0</v>
      </c>
      <c r="E59" s="167">
        <f t="shared" si="38"/>
        <v>0</v>
      </c>
      <c r="F59" s="167">
        <f t="shared" si="38"/>
        <v>0</v>
      </c>
      <c r="G59" s="167">
        <f t="shared" si="38"/>
        <v>0</v>
      </c>
      <c r="H59" s="167">
        <f t="shared" si="38"/>
        <v>0</v>
      </c>
      <c r="I59" s="167">
        <f t="shared" si="38"/>
        <v>0</v>
      </c>
      <c r="J59" s="99"/>
      <c r="K59" s="167">
        <f t="shared" ref="K59:Q59" si="39">K56-K57</f>
        <v>0</v>
      </c>
      <c r="L59" s="167">
        <f t="shared" si="39"/>
        <v>0</v>
      </c>
      <c r="M59" s="167">
        <f t="shared" si="39"/>
        <v>0</v>
      </c>
      <c r="N59" s="167">
        <f t="shared" si="39"/>
        <v>0</v>
      </c>
      <c r="O59" s="167">
        <f t="shared" si="39"/>
        <v>0</v>
      </c>
      <c r="P59" s="167">
        <f t="shared" si="39"/>
        <v>0</v>
      </c>
      <c r="Q59" s="167">
        <f t="shared" si="39"/>
        <v>0</v>
      </c>
    </row>
    <row r="60" spans="1:17">
      <c r="A60" s="165"/>
      <c r="B60" s="165"/>
      <c r="C60" s="167"/>
      <c r="D60" s="167"/>
      <c r="E60" s="167"/>
      <c r="F60" s="167"/>
      <c r="G60" s="167"/>
      <c r="H60" s="167"/>
      <c r="I60" s="167"/>
      <c r="J60" s="99"/>
      <c r="K60" s="167"/>
      <c r="L60" s="167"/>
      <c r="M60" s="167"/>
      <c r="N60" s="167"/>
      <c r="O60" s="167"/>
      <c r="P60" s="167"/>
      <c r="Q60" s="167"/>
    </row>
    <row r="61" spans="1:17">
      <c r="A61" s="338" t="s">
        <v>336</v>
      </c>
      <c r="B61" s="165"/>
      <c r="C61" s="167"/>
      <c r="D61" s="167"/>
      <c r="E61" s="167"/>
      <c r="F61" s="167"/>
      <c r="G61" s="167"/>
      <c r="H61" s="167"/>
      <c r="I61" s="167"/>
      <c r="J61" s="99"/>
      <c r="K61" s="167"/>
      <c r="L61" s="167"/>
      <c r="M61" s="167"/>
      <c r="N61" s="167"/>
      <c r="O61" s="167"/>
      <c r="P61" s="167"/>
      <c r="Q61" s="167"/>
    </row>
    <row r="62" spans="1:17">
      <c r="A62" s="165" t="str">
        <f>A56</f>
        <v>Asset Value</v>
      </c>
      <c r="B62" s="165"/>
      <c r="C62" s="167">
        <f>'1.Project Cost and MOF'!D8</f>
        <v>0</v>
      </c>
      <c r="D62" s="167">
        <f t="shared" ref="D62:I62" si="40">C65</f>
        <v>0</v>
      </c>
      <c r="E62" s="167">
        <f t="shared" si="40"/>
        <v>0</v>
      </c>
      <c r="F62" s="167">
        <f t="shared" si="40"/>
        <v>0</v>
      </c>
      <c r="G62" s="167">
        <f t="shared" si="40"/>
        <v>0</v>
      </c>
      <c r="H62" s="167">
        <f t="shared" si="40"/>
        <v>0</v>
      </c>
      <c r="I62" s="167">
        <f t="shared" si="40"/>
        <v>0</v>
      </c>
      <c r="J62" s="99"/>
      <c r="K62" s="167">
        <f>C62</f>
        <v>0</v>
      </c>
      <c r="L62" s="167">
        <f t="shared" ref="L62:Q62" si="41">K65</f>
        <v>0</v>
      </c>
      <c r="M62" s="167">
        <f t="shared" si="41"/>
        <v>0</v>
      </c>
      <c r="N62" s="167">
        <f t="shared" si="41"/>
        <v>0</v>
      </c>
      <c r="O62" s="167">
        <f t="shared" si="41"/>
        <v>0</v>
      </c>
      <c r="P62" s="167">
        <f t="shared" si="41"/>
        <v>0</v>
      </c>
      <c r="Q62" s="167">
        <f t="shared" si="41"/>
        <v>0</v>
      </c>
    </row>
    <row r="63" spans="1:17">
      <c r="A63" s="165" t="str">
        <f>A57</f>
        <v>Depreciation</v>
      </c>
      <c r="B63" s="165"/>
      <c r="C63" s="167">
        <f t="shared" ref="C63:I63" si="42">$C$62*$B$77</f>
        <v>0</v>
      </c>
      <c r="D63" s="167">
        <f t="shared" si="42"/>
        <v>0</v>
      </c>
      <c r="E63" s="167">
        <f t="shared" si="42"/>
        <v>0</v>
      </c>
      <c r="F63" s="167">
        <f t="shared" si="42"/>
        <v>0</v>
      </c>
      <c r="G63" s="167">
        <f t="shared" si="42"/>
        <v>0</v>
      </c>
      <c r="H63" s="167">
        <f t="shared" si="42"/>
        <v>0</v>
      </c>
      <c r="I63" s="167">
        <f t="shared" si="42"/>
        <v>0</v>
      </c>
      <c r="J63" s="99"/>
      <c r="K63" s="167">
        <f t="shared" ref="K63:Q63" si="43">K62*$C$77</f>
        <v>0</v>
      </c>
      <c r="L63" s="167">
        <f t="shared" si="43"/>
        <v>0</v>
      </c>
      <c r="M63" s="167">
        <f t="shared" si="43"/>
        <v>0</v>
      </c>
      <c r="N63" s="167">
        <f t="shared" si="43"/>
        <v>0</v>
      </c>
      <c r="O63" s="167">
        <f t="shared" si="43"/>
        <v>0</v>
      </c>
      <c r="P63" s="167">
        <f t="shared" si="43"/>
        <v>0</v>
      </c>
      <c r="Q63" s="167">
        <f t="shared" si="43"/>
        <v>0</v>
      </c>
    </row>
    <row r="64" spans="1:17">
      <c r="A64" s="165" t="str">
        <f>A58</f>
        <v>Accumulated Depreciation</v>
      </c>
      <c r="B64" s="165"/>
      <c r="C64" s="167">
        <f>C63</f>
        <v>0</v>
      </c>
      <c r="D64" s="167">
        <f t="shared" ref="D64:I64" si="44">D63+C64</f>
        <v>0</v>
      </c>
      <c r="E64" s="167">
        <f t="shared" si="44"/>
        <v>0</v>
      </c>
      <c r="F64" s="167">
        <f t="shared" si="44"/>
        <v>0</v>
      </c>
      <c r="G64" s="167">
        <f t="shared" si="44"/>
        <v>0</v>
      </c>
      <c r="H64" s="167">
        <f t="shared" si="44"/>
        <v>0</v>
      </c>
      <c r="I64" s="167">
        <f t="shared" si="44"/>
        <v>0</v>
      </c>
      <c r="J64" s="99"/>
      <c r="K64" s="167">
        <f>K63</f>
        <v>0</v>
      </c>
      <c r="L64" s="167">
        <f t="shared" ref="L64:Q64" si="45">L63+K64</f>
        <v>0</v>
      </c>
      <c r="M64" s="167">
        <f t="shared" si="45"/>
        <v>0</v>
      </c>
      <c r="N64" s="167">
        <f t="shared" si="45"/>
        <v>0</v>
      </c>
      <c r="O64" s="167">
        <f t="shared" si="45"/>
        <v>0</v>
      </c>
      <c r="P64" s="167">
        <f t="shared" si="45"/>
        <v>0</v>
      </c>
      <c r="Q64" s="167">
        <f t="shared" si="45"/>
        <v>0</v>
      </c>
    </row>
    <row r="65" spans="1:17">
      <c r="A65" s="165" t="str">
        <f>A59</f>
        <v>Net Fixed Assets</v>
      </c>
      <c r="B65" s="165"/>
      <c r="C65" s="167">
        <f t="shared" ref="C65:I65" si="46">C62-C63</f>
        <v>0</v>
      </c>
      <c r="D65" s="167">
        <f t="shared" si="46"/>
        <v>0</v>
      </c>
      <c r="E65" s="167">
        <f t="shared" si="46"/>
        <v>0</v>
      </c>
      <c r="F65" s="167">
        <f t="shared" si="46"/>
        <v>0</v>
      </c>
      <c r="G65" s="167">
        <f t="shared" si="46"/>
        <v>0</v>
      </c>
      <c r="H65" s="167">
        <f t="shared" si="46"/>
        <v>0</v>
      </c>
      <c r="I65" s="167">
        <f t="shared" si="46"/>
        <v>0</v>
      </c>
      <c r="J65" s="99"/>
      <c r="K65" s="167">
        <f t="shared" ref="K65:Q65" si="47">K62-K63</f>
        <v>0</v>
      </c>
      <c r="L65" s="167">
        <f t="shared" si="47"/>
        <v>0</v>
      </c>
      <c r="M65" s="167">
        <f t="shared" si="47"/>
        <v>0</v>
      </c>
      <c r="N65" s="167">
        <f t="shared" si="47"/>
        <v>0</v>
      </c>
      <c r="O65" s="167">
        <f t="shared" si="47"/>
        <v>0</v>
      </c>
      <c r="P65" s="167">
        <f t="shared" si="47"/>
        <v>0</v>
      </c>
      <c r="Q65" s="167">
        <f t="shared" si="47"/>
        <v>0</v>
      </c>
    </row>
    <row r="66" spans="1:17">
      <c r="A66" s="166" t="s">
        <v>206</v>
      </c>
      <c r="B66" s="166"/>
      <c r="C66" s="168">
        <f t="shared" ref="C66:I69" si="48">C50+C44+C38+C56+C62</f>
        <v>25577710.98</v>
      </c>
      <c r="D66" s="168">
        <f t="shared" si="48"/>
        <v>24620808.5119</v>
      </c>
      <c r="E66" s="168">
        <f t="shared" si="48"/>
        <v>23663906.0438</v>
      </c>
      <c r="F66" s="168">
        <f t="shared" si="48"/>
        <v>22707003.575700004</v>
      </c>
      <c r="G66" s="168">
        <f t="shared" si="48"/>
        <v>21750101.107600003</v>
      </c>
      <c r="H66" s="168">
        <f t="shared" si="48"/>
        <v>20793198.639500003</v>
      </c>
      <c r="I66" s="168">
        <f t="shared" si="48"/>
        <v>19836296.171400003</v>
      </c>
      <c r="J66" s="99"/>
      <c r="K66" s="168">
        <f t="shared" ref="K66:Q69" si="49">K50+K44+K38+K56+K62</f>
        <v>25577710.98</v>
      </c>
      <c r="L66" s="168">
        <f t="shared" si="49"/>
        <v>22853774.881999999</v>
      </c>
      <c r="M66" s="168">
        <f t="shared" si="49"/>
        <v>20427157.143799998</v>
      </c>
      <c r="N66" s="168">
        <f t="shared" si="49"/>
        <v>18264387.21692</v>
      </c>
      <c r="O66" s="168">
        <f t="shared" si="49"/>
        <v>16335902.414603001</v>
      </c>
      <c r="P66" s="168">
        <f t="shared" si="49"/>
        <v>14615573.004611449</v>
      </c>
      <c r="Q66" s="168">
        <f t="shared" si="49"/>
        <v>13080287.410898741</v>
      </c>
    </row>
    <row r="67" spans="1:17">
      <c r="A67" s="166" t="s">
        <v>207</v>
      </c>
      <c r="B67" s="166"/>
      <c r="C67" s="168">
        <f t="shared" si="48"/>
        <v>956902.46809999994</v>
      </c>
      <c r="D67" s="168">
        <f t="shared" si="48"/>
        <v>956902.46809999994</v>
      </c>
      <c r="E67" s="168">
        <f t="shared" si="48"/>
        <v>956902.46809999994</v>
      </c>
      <c r="F67" s="168">
        <f t="shared" si="48"/>
        <v>956902.46809999994</v>
      </c>
      <c r="G67" s="168">
        <f t="shared" si="48"/>
        <v>956902.46809999994</v>
      </c>
      <c r="H67" s="168">
        <f t="shared" si="48"/>
        <v>956902.46809999994</v>
      </c>
      <c r="I67" s="168">
        <f t="shared" si="48"/>
        <v>956902.46809999994</v>
      </c>
      <c r="J67" s="99"/>
      <c r="K67" s="168">
        <f t="shared" si="49"/>
        <v>2723936.0980000002</v>
      </c>
      <c r="L67" s="168">
        <f t="shared" si="49"/>
        <v>2426617.7382</v>
      </c>
      <c r="M67" s="168">
        <f t="shared" si="49"/>
        <v>2162769.9268800002</v>
      </c>
      <c r="N67" s="168">
        <f t="shared" si="49"/>
        <v>1928484.802317</v>
      </c>
      <c r="O67" s="168">
        <f t="shared" si="49"/>
        <v>1720329.4099915503</v>
      </c>
      <c r="P67" s="168">
        <f t="shared" si="49"/>
        <v>1535285.5937127075</v>
      </c>
      <c r="Q67" s="168">
        <f t="shared" si="49"/>
        <v>1370697.7903537021</v>
      </c>
    </row>
    <row r="68" spans="1:17">
      <c r="A68" s="166" t="s">
        <v>208</v>
      </c>
      <c r="B68" s="166"/>
      <c r="C68" s="168">
        <f t="shared" si="48"/>
        <v>956902.46809999994</v>
      </c>
      <c r="D68" s="168">
        <f t="shared" si="48"/>
        <v>1913804.9361999999</v>
      </c>
      <c r="E68" s="168">
        <f t="shared" si="48"/>
        <v>2870707.4042999996</v>
      </c>
      <c r="F68" s="168">
        <f t="shared" si="48"/>
        <v>3827609.8723999998</v>
      </c>
      <c r="G68" s="168">
        <f t="shared" si="48"/>
        <v>4784512.3404999999</v>
      </c>
      <c r="H68" s="168">
        <f t="shared" si="48"/>
        <v>5741414.8086000001</v>
      </c>
      <c r="I68" s="168">
        <f t="shared" si="48"/>
        <v>6698317.2766999993</v>
      </c>
      <c r="J68" s="99"/>
      <c r="K68" s="168">
        <f t="shared" si="49"/>
        <v>2723936.0980000002</v>
      </c>
      <c r="L68" s="168">
        <f t="shared" si="49"/>
        <v>5150553.8362000007</v>
      </c>
      <c r="M68" s="168">
        <f t="shared" si="49"/>
        <v>7313323.7630799999</v>
      </c>
      <c r="N68" s="168">
        <f t="shared" si="49"/>
        <v>9241808.5653969999</v>
      </c>
      <c r="O68" s="168">
        <f t="shared" si="49"/>
        <v>10962137.975388551</v>
      </c>
      <c r="P68" s="168">
        <f t="shared" si="49"/>
        <v>12497423.569101259</v>
      </c>
      <c r="Q68" s="168">
        <f t="shared" si="49"/>
        <v>13868121.359454961</v>
      </c>
    </row>
    <row r="69" spans="1:17">
      <c r="A69" s="166" t="s">
        <v>202</v>
      </c>
      <c r="B69" s="166"/>
      <c r="C69" s="168">
        <f t="shared" si="48"/>
        <v>24620808.5119</v>
      </c>
      <c r="D69" s="168">
        <f t="shared" si="48"/>
        <v>23663906.0438</v>
      </c>
      <c r="E69" s="168">
        <f t="shared" si="48"/>
        <v>22707003.575700004</v>
      </c>
      <c r="F69" s="168">
        <f t="shared" si="48"/>
        <v>21750101.107600003</v>
      </c>
      <c r="G69" s="168">
        <f t="shared" si="48"/>
        <v>20793198.639500003</v>
      </c>
      <c r="H69" s="168">
        <f t="shared" si="48"/>
        <v>19836296.171400003</v>
      </c>
      <c r="I69" s="168">
        <f t="shared" si="48"/>
        <v>18879393.703300007</v>
      </c>
      <c r="J69" s="99"/>
      <c r="K69" s="168">
        <f t="shared" si="49"/>
        <v>22853774.881999999</v>
      </c>
      <c r="L69" s="168">
        <f t="shared" si="49"/>
        <v>20427157.143799998</v>
      </c>
      <c r="M69" s="168">
        <f t="shared" si="49"/>
        <v>18264387.21692</v>
      </c>
      <c r="N69" s="168">
        <f t="shared" si="49"/>
        <v>16335902.414603001</v>
      </c>
      <c r="O69" s="168">
        <f t="shared" si="49"/>
        <v>14615573.004611449</v>
      </c>
      <c r="P69" s="168">
        <f t="shared" si="49"/>
        <v>13080287.410898741</v>
      </c>
      <c r="Q69" s="168">
        <f t="shared" si="49"/>
        <v>11709589.620545039</v>
      </c>
    </row>
    <row r="70" spans="1:17">
      <c r="A70" s="171"/>
      <c r="B70" s="171"/>
      <c r="C70" s="172"/>
      <c r="D70" s="172"/>
      <c r="E70" s="172"/>
      <c r="F70" s="172"/>
      <c r="G70" s="172"/>
      <c r="H70" s="172"/>
      <c r="I70" s="172"/>
      <c r="J70" s="94"/>
    </row>
    <row r="71" spans="1:17">
      <c r="A71" s="94"/>
      <c r="B71" s="94"/>
      <c r="C71" s="94"/>
      <c r="D71" s="94"/>
      <c r="E71" s="94"/>
      <c r="F71" s="94"/>
      <c r="G71" s="94"/>
      <c r="H71" s="94"/>
      <c r="I71" s="94"/>
      <c r="J71" s="94"/>
    </row>
    <row r="72" spans="1:17" ht="29.25">
      <c r="A72" s="173" t="s">
        <v>209</v>
      </c>
      <c r="B72" s="174" t="s">
        <v>210</v>
      </c>
      <c r="C72" s="175" t="s">
        <v>211</v>
      </c>
      <c r="D72" s="94"/>
      <c r="E72" s="94"/>
      <c r="F72" s="94"/>
      <c r="G72" s="94"/>
      <c r="H72" s="94"/>
      <c r="I72" s="94"/>
      <c r="J72" s="94"/>
    </row>
    <row r="73" spans="1:17" ht="29.25">
      <c r="A73" s="176" t="s">
        <v>212</v>
      </c>
      <c r="B73" s="174" t="s">
        <v>213</v>
      </c>
      <c r="C73" s="175" t="s">
        <v>214</v>
      </c>
      <c r="D73" s="94"/>
      <c r="E73" s="94"/>
      <c r="F73" s="94"/>
      <c r="G73" s="94"/>
      <c r="H73" s="94"/>
      <c r="I73" s="94"/>
      <c r="J73" s="94"/>
    </row>
    <row r="74" spans="1:17">
      <c r="A74" s="176" t="s">
        <v>149</v>
      </c>
      <c r="B74" s="177">
        <v>0</v>
      </c>
      <c r="C74" s="177">
        <v>0</v>
      </c>
      <c r="D74" s="94"/>
      <c r="E74" s="94"/>
      <c r="F74" s="94"/>
      <c r="G74" s="94"/>
      <c r="H74" s="94"/>
      <c r="I74" s="94"/>
      <c r="J74" s="94"/>
    </row>
    <row r="75" spans="1:17">
      <c r="A75" s="178" t="s">
        <v>203</v>
      </c>
      <c r="B75" s="177">
        <v>3.1699999999999999E-2</v>
      </c>
      <c r="C75" s="177">
        <v>0.1</v>
      </c>
      <c r="D75" s="179"/>
      <c r="E75" s="94"/>
      <c r="F75" s="94"/>
      <c r="G75" s="94"/>
      <c r="H75" s="94"/>
      <c r="I75" s="94"/>
      <c r="J75" s="94"/>
    </row>
    <row r="76" spans="1:17">
      <c r="A76" s="178" t="s">
        <v>205</v>
      </c>
      <c r="B76" s="180">
        <v>0.1</v>
      </c>
      <c r="C76" s="177">
        <v>0.1</v>
      </c>
      <c r="D76" s="94"/>
      <c r="E76" s="94"/>
      <c r="F76" s="94"/>
      <c r="G76" s="94"/>
      <c r="H76" s="94"/>
      <c r="I76" s="94"/>
      <c r="J76" s="94"/>
    </row>
    <row r="77" spans="1:17">
      <c r="A77" s="94" t="s">
        <v>215</v>
      </c>
      <c r="B77" s="180">
        <v>0.1</v>
      </c>
      <c r="C77" s="180">
        <v>0.4</v>
      </c>
      <c r="D77" s="94"/>
      <c r="E77" s="94"/>
      <c r="F77" s="94"/>
      <c r="G77" s="94"/>
      <c r="H77" s="94"/>
      <c r="I77" s="94"/>
      <c r="J77" s="94"/>
    </row>
    <row r="78" spans="1:17">
      <c r="A78" s="94" t="s">
        <v>280</v>
      </c>
      <c r="B78" s="180">
        <v>0.1188</v>
      </c>
      <c r="C78" s="180">
        <v>0.15</v>
      </c>
      <c r="D78" s="94"/>
      <c r="E78" s="94"/>
      <c r="F78" s="94"/>
      <c r="G78" s="94"/>
      <c r="H78" s="94"/>
      <c r="I78" s="94"/>
      <c r="J78" s="94"/>
    </row>
    <row r="79" spans="1:17">
      <c r="A79" s="178" t="s">
        <v>216</v>
      </c>
      <c r="B79" s="180">
        <v>6.3299999999999995E-2</v>
      </c>
      <c r="C79" s="180">
        <v>0.15</v>
      </c>
      <c r="D79" s="94"/>
      <c r="E79" s="94"/>
      <c r="F79" s="94"/>
      <c r="G79" s="94"/>
      <c r="H79" s="94"/>
      <c r="I79" s="94"/>
      <c r="J79" s="94"/>
    </row>
    <row r="80" spans="1:17" ht="29.25">
      <c r="A80" s="176" t="s">
        <v>209</v>
      </c>
      <c r="B80" s="177"/>
      <c r="C80" s="181"/>
      <c r="D80" s="94"/>
      <c r="E80" s="94"/>
      <c r="F80" s="94"/>
      <c r="G80" s="94"/>
      <c r="H80" s="94"/>
      <c r="I80" s="94"/>
      <c r="J80" s="94"/>
    </row>
    <row r="81" spans="1:12">
      <c r="A81" s="178" t="s">
        <v>217</v>
      </c>
      <c r="B81" s="181">
        <v>0.2</v>
      </c>
      <c r="C81" s="182">
        <v>0.2</v>
      </c>
      <c r="D81" s="94"/>
      <c r="E81" s="94"/>
      <c r="F81" s="94"/>
      <c r="G81" s="94"/>
      <c r="H81" s="94"/>
      <c r="I81" s="94"/>
      <c r="J81" s="94"/>
    </row>
    <row r="82" spans="1:12">
      <c r="A82" s="94"/>
      <c r="B82" s="94"/>
      <c r="C82" s="94"/>
      <c r="D82" s="94"/>
      <c r="E82" s="94"/>
      <c r="F82" s="94"/>
      <c r="G82" s="94"/>
      <c r="H82" s="94"/>
      <c r="I82" s="94"/>
      <c r="J82" s="94"/>
    </row>
    <row r="83" spans="1:12">
      <c r="A83" s="94"/>
      <c r="B83" s="94"/>
      <c r="C83" s="94"/>
      <c r="D83" s="94"/>
      <c r="E83" s="183"/>
      <c r="F83" s="94"/>
      <c r="G83" s="94"/>
      <c r="H83" s="94"/>
      <c r="I83" s="94"/>
      <c r="J83" s="94"/>
    </row>
    <row r="84" spans="1:12" s="65" customFormat="1" ht="18.75">
      <c r="A84" s="417" t="s">
        <v>568</v>
      </c>
      <c r="B84" s="417"/>
      <c r="C84" s="417"/>
      <c r="D84" s="417"/>
      <c r="E84" s="417"/>
      <c r="F84" s="417"/>
      <c r="G84" s="417"/>
      <c r="H84" s="417"/>
      <c r="I84" s="417"/>
      <c r="J84" s="417"/>
    </row>
    <row r="85" spans="1:12" s="65" customFormat="1">
      <c r="A85" s="35"/>
      <c r="B85" s="35"/>
    </row>
    <row r="86" spans="1:12" s="65" customFormat="1">
      <c r="A86" s="153" t="s">
        <v>0</v>
      </c>
      <c r="B86" s="154" t="s">
        <v>346</v>
      </c>
      <c r="C86" s="155" t="s">
        <v>2</v>
      </c>
      <c r="D86" s="155" t="s">
        <v>3</v>
      </c>
      <c r="E86" s="155" t="s">
        <v>4</v>
      </c>
      <c r="F86" s="155" t="s">
        <v>5</v>
      </c>
      <c r="G86" s="155" t="s">
        <v>6</v>
      </c>
      <c r="H86" s="155" t="s">
        <v>171</v>
      </c>
      <c r="I86" s="155" t="s">
        <v>170</v>
      </c>
      <c r="J86" s="38"/>
      <c r="K86" s="38"/>
      <c r="L86" s="38"/>
    </row>
    <row r="87" spans="1:12" s="65" customFormat="1">
      <c r="A87" s="156" t="s">
        <v>258</v>
      </c>
      <c r="B87" s="157">
        <v>5</v>
      </c>
      <c r="C87" s="158">
        <f>'1.Project Cost and MOF'!$D$10/5</f>
        <v>265000</v>
      </c>
      <c r="D87" s="158">
        <f>'1.Project Cost and MOF'!$D$10/5</f>
        <v>265000</v>
      </c>
      <c r="E87" s="158">
        <f>'1.Project Cost and MOF'!$D$10/5</f>
        <v>265000</v>
      </c>
      <c r="F87" s="158">
        <f>'1.Project Cost and MOF'!$D$10/5</f>
        <v>265000</v>
      </c>
      <c r="G87" s="158">
        <f>'1.Project Cost and MOF'!$D$10/5</f>
        <v>265000</v>
      </c>
      <c r="H87" s="158">
        <v>0</v>
      </c>
      <c r="I87" s="158">
        <v>0</v>
      </c>
      <c r="J87" s="38"/>
      <c r="K87" s="38"/>
      <c r="L87" s="38"/>
    </row>
    <row r="88" spans="1:12" s="65" customFormat="1">
      <c r="A88" s="159" t="s">
        <v>347</v>
      </c>
      <c r="B88" s="160"/>
      <c r="C88" s="161">
        <f t="shared" ref="C88:I88" si="50">SUM(C86:C87)</f>
        <v>265000</v>
      </c>
      <c r="D88" s="161">
        <f t="shared" si="50"/>
        <v>265000</v>
      </c>
      <c r="E88" s="161">
        <f t="shared" si="50"/>
        <v>265000</v>
      </c>
      <c r="F88" s="161">
        <f t="shared" si="50"/>
        <v>265000</v>
      </c>
      <c r="G88" s="161">
        <f t="shared" si="50"/>
        <v>265000</v>
      </c>
      <c r="H88" s="161">
        <f t="shared" si="50"/>
        <v>0</v>
      </c>
      <c r="I88" s="161">
        <f t="shared" si="50"/>
        <v>0</v>
      </c>
      <c r="J88" s="66"/>
      <c r="K88" s="66"/>
      <c r="L88" s="66"/>
    </row>
    <row r="89" spans="1:12" s="65" customFormat="1">
      <c r="C89" s="38"/>
      <c r="D89" s="38"/>
      <c r="E89" s="38"/>
      <c r="F89" s="38"/>
      <c r="G89" s="38"/>
      <c r="H89" s="38"/>
      <c r="I89" s="38"/>
      <c r="J89" s="38"/>
      <c r="K89" s="38"/>
      <c r="L89" s="38"/>
    </row>
    <row r="92" spans="1:12">
      <c r="A92" s="33"/>
      <c r="B92" s="34"/>
      <c r="C92" s="34"/>
      <c r="D92" s="34"/>
      <c r="E92" s="34"/>
      <c r="F92" s="34"/>
      <c r="G92" s="34"/>
      <c r="H92" s="34"/>
      <c r="I92" s="34"/>
      <c r="J92" s="34"/>
      <c r="K92" s="34"/>
    </row>
    <row r="93" spans="1:12" ht="18.75">
      <c r="A93" s="428" t="s">
        <v>569</v>
      </c>
      <c r="B93" s="428"/>
      <c r="C93" s="428"/>
      <c r="D93" s="428"/>
      <c r="E93" s="428"/>
      <c r="F93" s="428"/>
      <c r="G93" s="428"/>
      <c r="H93" s="428"/>
      <c r="I93" s="150"/>
      <c r="J93" s="150"/>
      <c r="K93" s="150"/>
    </row>
    <row r="94" spans="1:12">
      <c r="A94" s="35"/>
      <c r="B94" s="34"/>
      <c r="C94" s="34"/>
      <c r="D94" s="34"/>
      <c r="E94" s="34"/>
      <c r="F94" s="34"/>
      <c r="G94" s="34"/>
      <c r="H94" s="34"/>
      <c r="I94" s="34"/>
      <c r="J94" s="34"/>
      <c r="K94" s="34"/>
    </row>
    <row r="95" spans="1:12">
      <c r="A95" s="148" t="s">
        <v>0</v>
      </c>
      <c r="B95" s="120" t="s">
        <v>2</v>
      </c>
      <c r="C95" s="120" t="s">
        <v>3</v>
      </c>
      <c r="D95" s="120" t="s">
        <v>4</v>
      </c>
      <c r="E95" s="120" t="s">
        <v>5</v>
      </c>
      <c r="F95" s="120" t="s">
        <v>6</v>
      </c>
      <c r="G95" s="120" t="s">
        <v>171</v>
      </c>
      <c r="H95" s="120" t="s">
        <v>170</v>
      </c>
      <c r="I95" s="28"/>
      <c r="J95" s="28"/>
      <c r="K95" s="28"/>
    </row>
    <row r="96" spans="1:12">
      <c r="A96" s="88" t="s">
        <v>230</v>
      </c>
      <c r="B96" s="151">
        <f>'6.Cons Profit &amp; Loss'!B49</f>
        <v>1451439.4406881952</v>
      </c>
      <c r="C96" s="151">
        <f>'6.Cons Profit &amp; Loss'!C49</f>
        <v>2453198.5118107698</v>
      </c>
      <c r="D96" s="151">
        <f>'6.Cons Profit &amp; Loss'!D49</f>
        <v>4467354.0197902601</v>
      </c>
      <c r="E96" s="151">
        <f>'6.Cons Profit &amp; Loss'!E49</f>
        <v>6681719.8705592081</v>
      </c>
      <c r="F96" s="151">
        <f>'6.Cons Profit &amp; Loss'!F49</f>
        <v>9113532.1843671463</v>
      </c>
      <c r="G96" s="151">
        <f>'6.Cons Profit &amp; Loss'!G49</f>
        <v>11922906.020396691</v>
      </c>
      <c r="H96" s="151">
        <f>'6.Cons Profit &amp; Loss'!H49</f>
        <v>14711248.394752167</v>
      </c>
      <c r="I96" s="37"/>
      <c r="J96" s="37"/>
      <c r="K96" s="37"/>
    </row>
    <row r="97" spans="1:11">
      <c r="A97" s="88" t="s">
        <v>231</v>
      </c>
      <c r="B97" s="151">
        <f>'6.Cons Profit &amp; Loss'!B42</f>
        <v>956902.46809999994</v>
      </c>
      <c r="C97" s="151">
        <f>'6.Cons Profit &amp; Loss'!C42</f>
        <v>956902.46809999994</v>
      </c>
      <c r="D97" s="151">
        <f>'6.Cons Profit &amp; Loss'!D42</f>
        <v>956902.46809999994</v>
      </c>
      <c r="E97" s="151">
        <f>'6.Cons Profit &amp; Loss'!E42</f>
        <v>956902.46809999994</v>
      </c>
      <c r="F97" s="151">
        <f>'6.Cons Profit &amp; Loss'!F42</f>
        <v>956902.46809999994</v>
      </c>
      <c r="G97" s="151">
        <f>'6.Cons Profit &amp; Loss'!G42</f>
        <v>956902.46809999994</v>
      </c>
      <c r="H97" s="151">
        <f>'6.Cons Profit &amp; Loss'!H42</f>
        <v>956902.46809999994</v>
      </c>
      <c r="I97" s="37"/>
      <c r="J97" s="37"/>
      <c r="K97" s="37"/>
    </row>
    <row r="98" spans="1:11">
      <c r="A98" s="88" t="s">
        <v>232</v>
      </c>
      <c r="B98" s="151">
        <f>'3.Other Exp &amp; Taxes'!K67</f>
        <v>2723936.0980000002</v>
      </c>
      <c r="C98" s="151">
        <f>'3.Other Exp &amp; Taxes'!L67</f>
        <v>2426617.7382</v>
      </c>
      <c r="D98" s="151">
        <f>'3.Other Exp &amp; Taxes'!M67</f>
        <v>2162769.9268800002</v>
      </c>
      <c r="E98" s="151">
        <f>'3.Other Exp &amp; Taxes'!N67</f>
        <v>1928484.802317</v>
      </c>
      <c r="F98" s="151">
        <f>'3.Other Exp &amp; Taxes'!O67</f>
        <v>1720329.4099915503</v>
      </c>
      <c r="G98" s="151">
        <f>'3.Other Exp &amp; Taxes'!P67</f>
        <v>1535285.5937127075</v>
      </c>
      <c r="H98" s="151">
        <f>'3.Other Exp &amp; Taxes'!Q67</f>
        <v>1370697.7903537021</v>
      </c>
      <c r="I98" s="37"/>
      <c r="J98" s="37"/>
      <c r="K98" s="37"/>
    </row>
    <row r="99" spans="1:11">
      <c r="A99" s="88" t="s">
        <v>293</v>
      </c>
      <c r="B99" s="151">
        <f t="shared" ref="B99:H99" si="51">B96+B97-B98</f>
        <v>-315594.18921180535</v>
      </c>
      <c r="C99" s="151">
        <f t="shared" si="51"/>
        <v>983483.24171076948</v>
      </c>
      <c r="D99" s="151">
        <f t="shared" si="51"/>
        <v>3261486.5610102601</v>
      </c>
      <c r="E99" s="151">
        <f t="shared" si="51"/>
        <v>5710137.5363422083</v>
      </c>
      <c r="F99" s="151">
        <f t="shared" si="51"/>
        <v>8350105.2424755963</v>
      </c>
      <c r="G99" s="151">
        <f t="shared" si="51"/>
        <v>11344522.894783983</v>
      </c>
      <c r="H99" s="151">
        <f t="shared" si="51"/>
        <v>14297453.072498465</v>
      </c>
      <c r="I99" s="37"/>
      <c r="J99" s="37"/>
      <c r="K99" s="37"/>
    </row>
    <row r="100" spans="1:11">
      <c r="A100" s="90" t="s">
        <v>233</v>
      </c>
      <c r="B100" s="152">
        <f t="shared" ref="B100:H100" si="52">B99*$B$103</f>
        <v>-82054.4891950694</v>
      </c>
      <c r="C100" s="152">
        <f t="shared" si="52"/>
        <v>255705.64284480008</v>
      </c>
      <c r="D100" s="152">
        <f t="shared" si="52"/>
        <v>847986.50586266769</v>
      </c>
      <c r="E100" s="152">
        <f t="shared" si="52"/>
        <v>1484635.7594489742</v>
      </c>
      <c r="F100" s="152">
        <f t="shared" si="52"/>
        <v>2171027.3630436552</v>
      </c>
      <c r="G100" s="152">
        <f t="shared" si="52"/>
        <v>2949575.9526438355</v>
      </c>
      <c r="H100" s="152">
        <f t="shared" si="52"/>
        <v>3717337.7988496008</v>
      </c>
      <c r="I100" s="37"/>
      <c r="J100" s="37"/>
      <c r="K100" s="37"/>
    </row>
    <row r="101" spans="1:11">
      <c r="A101" s="36"/>
      <c r="B101" s="34"/>
      <c r="C101" s="34"/>
      <c r="D101" s="34"/>
      <c r="E101" s="34"/>
      <c r="F101" s="34"/>
      <c r="G101" s="34"/>
      <c r="H101" s="34"/>
      <c r="I101" s="34"/>
      <c r="J101" s="34"/>
      <c r="K101" s="34"/>
    </row>
    <row r="102" spans="1:11">
      <c r="A102" s="36"/>
      <c r="B102" s="38"/>
      <c r="C102" s="38"/>
      <c r="D102" s="38"/>
      <c r="E102" s="38"/>
      <c r="F102" s="38"/>
      <c r="G102" s="38"/>
      <c r="H102" s="38"/>
      <c r="I102" s="38"/>
      <c r="J102" s="38"/>
      <c r="K102" s="38"/>
    </row>
    <row r="103" spans="1:11">
      <c r="A103" s="39" t="s">
        <v>402</v>
      </c>
      <c r="B103" s="286">
        <v>0.26</v>
      </c>
      <c r="C103" s="38"/>
      <c r="D103" s="38"/>
      <c r="E103" s="38"/>
      <c r="F103" s="38"/>
      <c r="G103" s="38"/>
      <c r="H103" s="38"/>
      <c r="I103" s="38"/>
      <c r="J103" s="38"/>
      <c r="K103" s="38"/>
    </row>
    <row r="104" spans="1:11">
      <c r="A104" s="34"/>
      <c r="B104" s="34"/>
      <c r="C104" s="34"/>
      <c r="D104" s="34"/>
      <c r="E104" s="34"/>
      <c r="F104" s="34"/>
      <c r="G104" s="34"/>
      <c r="H104" s="34"/>
      <c r="I104" s="34"/>
      <c r="J104" s="34"/>
      <c r="K104" s="34"/>
    </row>
    <row r="105" spans="1:11" ht="29.1" customHeight="1">
      <c r="A105" s="429" t="s">
        <v>433</v>
      </c>
      <c r="B105" s="429"/>
      <c r="C105" s="429"/>
      <c r="D105" s="429"/>
      <c r="E105" s="429"/>
      <c r="F105" s="429"/>
      <c r="G105" s="429"/>
      <c r="H105" s="429"/>
      <c r="I105" s="32"/>
      <c r="J105" s="32"/>
      <c r="K105" s="32"/>
    </row>
  </sheetData>
  <mergeCells count="8">
    <mergeCell ref="A84:J84"/>
    <mergeCell ref="A93:H93"/>
    <mergeCell ref="A105:H105"/>
    <mergeCell ref="A2:K2"/>
    <mergeCell ref="A29:O29"/>
    <mergeCell ref="C32:I32"/>
    <mergeCell ref="K32:Q32"/>
    <mergeCell ref="A30:Q30"/>
  </mergeCells>
  <pageMargins left="0.7" right="0.7" top="0.75" bottom="0.75" header="0.3" footer="0.3"/>
  <pageSetup paperSize="9" scale="4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98"/>
  <sheetViews>
    <sheetView view="pageBreakPreview" topLeftCell="A22" zoomScale="80" zoomScaleSheetLayoutView="80" workbookViewId="0">
      <selection activeCell="E23" sqref="E23"/>
    </sheetView>
  </sheetViews>
  <sheetFormatPr defaultRowHeight="15"/>
  <cols>
    <col min="2" max="2" width="15.42578125" customWidth="1"/>
    <col min="3" max="3" width="28.140625" bestFit="1" customWidth="1"/>
    <col min="4" max="4" width="14.7109375" customWidth="1"/>
    <col min="5" max="5" width="25.85546875" bestFit="1" customWidth="1"/>
    <col min="6" max="6" width="12.140625" customWidth="1"/>
    <col min="7" max="7" width="27.28515625" bestFit="1" customWidth="1"/>
    <col min="8" max="8" width="12.28515625" bestFit="1" customWidth="1"/>
    <col min="9" max="9" width="11.7109375" bestFit="1" customWidth="1"/>
  </cols>
  <sheetData>
    <row r="2" spans="1:7" ht="18.75">
      <c r="A2" s="415" t="s">
        <v>570</v>
      </c>
      <c r="B2" s="415"/>
      <c r="C2" s="415"/>
      <c r="D2" s="415"/>
      <c r="E2" s="415"/>
      <c r="F2" s="415"/>
      <c r="G2" s="433"/>
    </row>
    <row r="3" spans="1:7">
      <c r="B3" s="15"/>
      <c r="C3" s="15"/>
      <c r="D3" s="15"/>
      <c r="E3" s="15"/>
      <c r="F3" s="15"/>
      <c r="G3" s="15"/>
    </row>
    <row r="4" spans="1:7">
      <c r="A4" s="94"/>
      <c r="B4" s="94"/>
      <c r="C4" s="94" t="s">
        <v>474</v>
      </c>
      <c r="D4" s="112">
        <f>'1.Project Cost and MOF'!E20</f>
        <v>7673313.2939999998</v>
      </c>
      <c r="E4" s="94"/>
      <c r="F4" s="94"/>
      <c r="G4" s="94"/>
    </row>
    <row r="5" spans="1:7">
      <c r="A5" s="94"/>
      <c r="B5" s="94"/>
      <c r="C5" s="94" t="s">
        <v>475</v>
      </c>
      <c r="D5" s="280">
        <v>0.14000000000000001</v>
      </c>
      <c r="E5" s="94"/>
      <c r="F5" s="94"/>
      <c r="G5" s="94"/>
    </row>
    <row r="6" spans="1:7">
      <c r="A6" s="94"/>
      <c r="B6" s="94"/>
      <c r="C6" s="94" t="s">
        <v>476</v>
      </c>
      <c r="D6" s="281">
        <v>5</v>
      </c>
      <c r="E6" s="94"/>
      <c r="F6" s="94"/>
      <c r="G6" s="94"/>
    </row>
    <row r="7" spans="1:7">
      <c r="A7" s="94"/>
      <c r="B7" s="94"/>
      <c r="C7" s="94" t="s">
        <v>477</v>
      </c>
      <c r="D7" s="281">
        <v>6</v>
      </c>
      <c r="E7" s="94"/>
      <c r="F7" s="94"/>
      <c r="G7" s="94"/>
    </row>
    <row r="8" spans="1:7">
      <c r="A8" s="94"/>
      <c r="B8" s="94"/>
      <c r="C8" s="94" t="s">
        <v>22</v>
      </c>
      <c r="D8" s="211">
        <f>PMT(D5/12,(D6-(D7/12))*12,-D4)</f>
        <v>192329.12260245174</v>
      </c>
      <c r="E8" s="211"/>
      <c r="F8" s="269"/>
      <c r="G8" s="94"/>
    </row>
    <row r="9" spans="1:7">
      <c r="A9" s="148" t="s">
        <v>294</v>
      </c>
      <c r="B9" s="212" t="s">
        <v>18</v>
      </c>
      <c r="C9" s="213" t="s">
        <v>19</v>
      </c>
      <c r="D9" s="213" t="s">
        <v>20</v>
      </c>
      <c r="E9" s="213" t="s">
        <v>21</v>
      </c>
      <c r="F9" s="213" t="s">
        <v>22</v>
      </c>
      <c r="G9" s="213" t="s">
        <v>23</v>
      </c>
    </row>
    <row r="10" spans="1:7">
      <c r="A10" s="95" t="s">
        <v>11</v>
      </c>
      <c r="B10" s="95" t="s">
        <v>52</v>
      </c>
      <c r="C10" s="96">
        <f>D4</f>
        <v>7673313.2939999998</v>
      </c>
      <c r="D10" s="96">
        <f t="shared" ref="D10:D41" si="0">C10*$D$5/12</f>
        <v>89521.988430000012</v>
      </c>
      <c r="E10" s="96">
        <f t="shared" ref="E10:E15" si="1">F10-D10</f>
        <v>0</v>
      </c>
      <c r="F10" s="96">
        <f>D10</f>
        <v>89521.988430000012</v>
      </c>
      <c r="G10" s="96">
        <f>C10-E10</f>
        <v>7673313.2939999998</v>
      </c>
    </row>
    <row r="11" spans="1:7">
      <c r="A11" s="95"/>
      <c r="B11" s="95" t="s">
        <v>53</v>
      </c>
      <c r="C11" s="96">
        <f>G10</f>
        <v>7673313.2939999998</v>
      </c>
      <c r="D11" s="96">
        <f t="shared" si="0"/>
        <v>89521.988430000012</v>
      </c>
      <c r="E11" s="96">
        <f t="shared" si="1"/>
        <v>0</v>
      </c>
      <c r="F11" s="96">
        <f t="shared" ref="F11:F15" si="2">D11</f>
        <v>89521.988430000012</v>
      </c>
      <c r="G11" s="96">
        <f t="shared" ref="G11:G74" si="3">C11-E11</f>
        <v>7673313.2939999998</v>
      </c>
    </row>
    <row r="12" spans="1:7">
      <c r="A12" s="95"/>
      <c r="B12" s="95" t="s">
        <v>54</v>
      </c>
      <c r="C12" s="96">
        <f t="shared" ref="C12:C75" si="4">G11</f>
        <v>7673313.2939999998</v>
      </c>
      <c r="D12" s="96">
        <f t="shared" si="0"/>
        <v>89521.988430000012</v>
      </c>
      <c r="E12" s="96">
        <f t="shared" si="1"/>
        <v>0</v>
      </c>
      <c r="F12" s="96">
        <f t="shared" si="2"/>
        <v>89521.988430000012</v>
      </c>
      <c r="G12" s="96">
        <f t="shared" si="3"/>
        <v>7673313.2939999998</v>
      </c>
    </row>
    <row r="13" spans="1:7">
      <c r="A13" s="95"/>
      <c r="B13" s="95" t="s">
        <v>55</v>
      </c>
      <c r="C13" s="96">
        <f t="shared" si="4"/>
        <v>7673313.2939999998</v>
      </c>
      <c r="D13" s="96">
        <f t="shared" si="0"/>
        <v>89521.988430000012</v>
      </c>
      <c r="E13" s="96">
        <f t="shared" si="1"/>
        <v>0</v>
      </c>
      <c r="F13" s="96">
        <f t="shared" si="2"/>
        <v>89521.988430000012</v>
      </c>
      <c r="G13" s="96">
        <f t="shared" si="3"/>
        <v>7673313.2939999998</v>
      </c>
    </row>
    <row r="14" spans="1:7">
      <c r="A14" s="95"/>
      <c r="B14" s="95" t="s">
        <v>56</v>
      </c>
      <c r="C14" s="96">
        <f t="shared" si="4"/>
        <v>7673313.2939999998</v>
      </c>
      <c r="D14" s="96">
        <f t="shared" si="0"/>
        <v>89521.988430000012</v>
      </c>
      <c r="E14" s="96">
        <f t="shared" si="1"/>
        <v>0</v>
      </c>
      <c r="F14" s="96">
        <f t="shared" si="2"/>
        <v>89521.988430000012</v>
      </c>
      <c r="G14" s="96">
        <f t="shared" si="3"/>
        <v>7673313.2939999998</v>
      </c>
    </row>
    <row r="15" spans="1:7">
      <c r="A15" s="95"/>
      <c r="B15" s="95" t="s">
        <v>57</v>
      </c>
      <c r="C15" s="96">
        <f t="shared" si="4"/>
        <v>7673313.2939999998</v>
      </c>
      <c r="D15" s="96">
        <f t="shared" si="0"/>
        <v>89521.988430000012</v>
      </c>
      <c r="E15" s="96">
        <f t="shared" si="1"/>
        <v>0</v>
      </c>
      <c r="F15" s="96">
        <f t="shared" si="2"/>
        <v>89521.988430000012</v>
      </c>
      <c r="G15" s="96">
        <f t="shared" si="3"/>
        <v>7673313.2939999998</v>
      </c>
    </row>
    <row r="16" spans="1:7">
      <c r="A16" s="95"/>
      <c r="B16" s="95" t="s">
        <v>58</v>
      </c>
      <c r="C16" s="96">
        <f t="shared" si="4"/>
        <v>7673313.2939999998</v>
      </c>
      <c r="D16" s="96">
        <f t="shared" si="0"/>
        <v>89521.988430000012</v>
      </c>
      <c r="E16" s="96">
        <f>F16-D16</f>
        <v>102807.13417245173</v>
      </c>
      <c r="F16" s="96">
        <f t="shared" ref="F16:F74" si="5">$D$8</f>
        <v>192329.12260245174</v>
      </c>
      <c r="G16" s="96">
        <f t="shared" si="3"/>
        <v>7570506.1598275481</v>
      </c>
    </row>
    <row r="17" spans="1:9">
      <c r="A17" s="95"/>
      <c r="B17" s="95" t="s">
        <v>59</v>
      </c>
      <c r="C17" s="96">
        <f t="shared" si="4"/>
        <v>7570506.1598275481</v>
      </c>
      <c r="D17" s="96">
        <f t="shared" si="0"/>
        <v>88322.571864654732</v>
      </c>
      <c r="E17" s="96">
        <f t="shared" ref="E17:E80" si="6">F17-D17</f>
        <v>104006.55073779701</v>
      </c>
      <c r="F17" s="96">
        <f t="shared" si="5"/>
        <v>192329.12260245174</v>
      </c>
      <c r="G17" s="96">
        <f t="shared" si="3"/>
        <v>7466499.6090897508</v>
      </c>
    </row>
    <row r="18" spans="1:9">
      <c r="A18" s="95"/>
      <c r="B18" s="95" t="s">
        <v>60</v>
      </c>
      <c r="C18" s="96">
        <f t="shared" si="4"/>
        <v>7466499.6090897508</v>
      </c>
      <c r="D18" s="96">
        <f t="shared" si="0"/>
        <v>87109.162106047108</v>
      </c>
      <c r="E18" s="96">
        <f t="shared" si="6"/>
        <v>105219.96049640463</v>
      </c>
      <c r="F18" s="96">
        <f t="shared" si="5"/>
        <v>192329.12260245174</v>
      </c>
      <c r="G18" s="96">
        <f t="shared" si="3"/>
        <v>7361279.6485933466</v>
      </c>
    </row>
    <row r="19" spans="1:9">
      <c r="A19" s="95"/>
      <c r="B19" s="95" t="s">
        <v>61</v>
      </c>
      <c r="C19" s="96">
        <f t="shared" si="4"/>
        <v>7361279.6485933466</v>
      </c>
      <c r="D19" s="96">
        <f t="shared" si="0"/>
        <v>85881.595900255721</v>
      </c>
      <c r="E19" s="96">
        <f t="shared" si="6"/>
        <v>106447.52670219602</v>
      </c>
      <c r="F19" s="96">
        <f t="shared" si="5"/>
        <v>192329.12260245174</v>
      </c>
      <c r="G19" s="96">
        <f t="shared" si="3"/>
        <v>7254832.1218911503</v>
      </c>
    </row>
    <row r="20" spans="1:9">
      <c r="A20" s="95"/>
      <c r="B20" s="95" t="s">
        <v>62</v>
      </c>
      <c r="C20" s="96">
        <f t="shared" si="4"/>
        <v>7254832.1218911503</v>
      </c>
      <c r="D20" s="96">
        <f t="shared" si="0"/>
        <v>84639.708088730098</v>
      </c>
      <c r="E20" s="96">
        <f t="shared" si="6"/>
        <v>107689.41451372164</v>
      </c>
      <c r="F20" s="96">
        <f t="shared" si="5"/>
        <v>192329.12260245174</v>
      </c>
      <c r="G20" s="96">
        <f t="shared" si="3"/>
        <v>7147142.7073774282</v>
      </c>
    </row>
    <row r="21" spans="1:9">
      <c r="A21" s="95"/>
      <c r="B21" s="95" t="s">
        <v>63</v>
      </c>
      <c r="C21" s="96">
        <f t="shared" si="4"/>
        <v>7147142.7073774282</v>
      </c>
      <c r="D21" s="96">
        <f t="shared" si="0"/>
        <v>83383.331586069995</v>
      </c>
      <c r="E21" s="96">
        <f t="shared" si="6"/>
        <v>108945.79101638174</v>
      </c>
      <c r="F21" s="96">
        <f t="shared" si="5"/>
        <v>192329.12260245174</v>
      </c>
      <c r="G21" s="96">
        <f t="shared" si="3"/>
        <v>7038196.916361046</v>
      </c>
      <c r="H21" s="1"/>
      <c r="I21" s="1"/>
    </row>
    <row r="22" spans="1:9">
      <c r="A22" s="95" t="s">
        <v>12</v>
      </c>
      <c r="B22" s="95" t="s">
        <v>64</v>
      </c>
      <c r="C22" s="96">
        <f t="shared" si="4"/>
        <v>7038196.916361046</v>
      </c>
      <c r="D22" s="96">
        <f t="shared" si="0"/>
        <v>82112.29735754554</v>
      </c>
      <c r="E22" s="96">
        <f t="shared" si="6"/>
        <v>110216.8252449062</v>
      </c>
      <c r="F22" s="96">
        <f t="shared" si="5"/>
        <v>192329.12260245174</v>
      </c>
      <c r="G22" s="96">
        <f t="shared" si="3"/>
        <v>6927980.0911161397</v>
      </c>
    </row>
    <row r="23" spans="1:9">
      <c r="A23" s="95"/>
      <c r="B23" s="95" t="s">
        <v>65</v>
      </c>
      <c r="C23" s="96">
        <f t="shared" si="4"/>
        <v>6927980.0911161397</v>
      </c>
      <c r="D23" s="96">
        <f t="shared" si="0"/>
        <v>80826.434396354962</v>
      </c>
      <c r="E23" s="96">
        <f t="shared" si="6"/>
        <v>111502.68820609678</v>
      </c>
      <c r="F23" s="96">
        <f t="shared" si="5"/>
        <v>192329.12260245174</v>
      </c>
      <c r="G23" s="96">
        <f t="shared" si="3"/>
        <v>6816477.4029100426</v>
      </c>
    </row>
    <row r="24" spans="1:9">
      <c r="A24" s="95"/>
      <c r="B24" s="95" t="s">
        <v>66</v>
      </c>
      <c r="C24" s="96">
        <f t="shared" si="4"/>
        <v>6816477.4029100426</v>
      </c>
      <c r="D24" s="96">
        <f t="shared" si="0"/>
        <v>79525.569700617169</v>
      </c>
      <c r="E24" s="96">
        <f t="shared" si="6"/>
        <v>112803.55290183457</v>
      </c>
      <c r="F24" s="96">
        <f t="shared" si="5"/>
        <v>192329.12260245174</v>
      </c>
      <c r="G24" s="96">
        <f t="shared" si="3"/>
        <v>6703673.8500082083</v>
      </c>
    </row>
    <row r="25" spans="1:9">
      <c r="A25" s="95"/>
      <c r="B25" s="95" t="s">
        <v>67</v>
      </c>
      <c r="C25" s="96">
        <f t="shared" si="4"/>
        <v>6703673.8500082083</v>
      </c>
      <c r="D25" s="96">
        <f t="shared" si="0"/>
        <v>78209.528250095769</v>
      </c>
      <c r="E25" s="96">
        <f t="shared" si="6"/>
        <v>114119.59435235597</v>
      </c>
      <c r="F25" s="96">
        <f t="shared" si="5"/>
        <v>192329.12260245174</v>
      </c>
      <c r="G25" s="96">
        <f t="shared" si="3"/>
        <v>6589554.2556558521</v>
      </c>
    </row>
    <row r="26" spans="1:9">
      <c r="A26" s="95"/>
      <c r="B26" s="95" t="s">
        <v>68</v>
      </c>
      <c r="C26" s="96">
        <f t="shared" si="4"/>
        <v>6589554.2556558521</v>
      </c>
      <c r="D26" s="96">
        <f t="shared" si="0"/>
        <v>76878.132982651616</v>
      </c>
      <c r="E26" s="96">
        <f t="shared" si="6"/>
        <v>115450.98961980012</v>
      </c>
      <c r="F26" s="96">
        <f t="shared" si="5"/>
        <v>192329.12260245174</v>
      </c>
      <c r="G26" s="96">
        <f t="shared" si="3"/>
        <v>6474103.2660360523</v>
      </c>
    </row>
    <row r="27" spans="1:9">
      <c r="A27" s="95"/>
      <c r="B27" s="95" t="s">
        <v>69</v>
      </c>
      <c r="C27" s="96">
        <f t="shared" si="4"/>
        <v>6474103.2660360523</v>
      </c>
      <c r="D27" s="96">
        <f t="shared" si="0"/>
        <v>75531.20477042062</v>
      </c>
      <c r="E27" s="96">
        <f t="shared" si="6"/>
        <v>116797.91783203112</v>
      </c>
      <c r="F27" s="96">
        <f t="shared" si="5"/>
        <v>192329.12260245174</v>
      </c>
      <c r="G27" s="96">
        <f t="shared" si="3"/>
        <v>6357305.3482040213</v>
      </c>
    </row>
    <row r="28" spans="1:9">
      <c r="A28" s="95"/>
      <c r="B28" s="95" t="s">
        <v>70</v>
      </c>
      <c r="C28" s="96">
        <f t="shared" si="4"/>
        <v>6357305.3482040213</v>
      </c>
      <c r="D28" s="96">
        <f t="shared" si="0"/>
        <v>74168.562395713598</v>
      </c>
      <c r="E28" s="96">
        <f t="shared" si="6"/>
        <v>118160.56020673814</v>
      </c>
      <c r="F28" s="96">
        <f t="shared" si="5"/>
        <v>192329.12260245174</v>
      </c>
      <c r="G28" s="96">
        <f t="shared" si="3"/>
        <v>6239144.787997283</v>
      </c>
    </row>
    <row r="29" spans="1:9">
      <c r="A29" s="95"/>
      <c r="B29" s="95" t="s">
        <v>71</v>
      </c>
      <c r="C29" s="96">
        <f t="shared" si="4"/>
        <v>6239144.787997283</v>
      </c>
      <c r="D29" s="96">
        <f t="shared" si="0"/>
        <v>72790.022526634973</v>
      </c>
      <c r="E29" s="96">
        <f t="shared" si="6"/>
        <v>119539.10007581676</v>
      </c>
      <c r="F29" s="96">
        <f t="shared" si="5"/>
        <v>192329.12260245174</v>
      </c>
      <c r="G29" s="96">
        <f t="shared" si="3"/>
        <v>6119605.6879214663</v>
      </c>
    </row>
    <row r="30" spans="1:9">
      <c r="A30" s="95"/>
      <c r="B30" s="95" t="s">
        <v>72</v>
      </c>
      <c r="C30" s="96">
        <f t="shared" si="4"/>
        <v>6119605.6879214663</v>
      </c>
      <c r="D30" s="96">
        <f t="shared" si="0"/>
        <v>71395.399692417108</v>
      </c>
      <c r="E30" s="96">
        <f t="shared" si="6"/>
        <v>120933.72291003463</v>
      </c>
      <c r="F30" s="96">
        <f t="shared" si="5"/>
        <v>192329.12260245174</v>
      </c>
      <c r="G30" s="96">
        <f t="shared" si="3"/>
        <v>5998671.9650114318</v>
      </c>
    </row>
    <row r="31" spans="1:9">
      <c r="A31" s="95"/>
      <c r="B31" s="95" t="s">
        <v>73</v>
      </c>
      <c r="C31" s="96">
        <f t="shared" si="4"/>
        <v>5998671.9650114318</v>
      </c>
      <c r="D31" s="96">
        <f t="shared" si="0"/>
        <v>69984.506258466703</v>
      </c>
      <c r="E31" s="96">
        <f t="shared" si="6"/>
        <v>122344.61634398504</v>
      </c>
      <c r="F31" s="96">
        <f t="shared" si="5"/>
        <v>192329.12260245174</v>
      </c>
      <c r="G31" s="96">
        <f t="shared" si="3"/>
        <v>5876327.3486674465</v>
      </c>
    </row>
    <row r="32" spans="1:9">
      <c r="A32" s="95"/>
      <c r="B32" s="95" t="s">
        <v>74</v>
      </c>
      <c r="C32" s="96">
        <f t="shared" si="4"/>
        <v>5876327.3486674465</v>
      </c>
      <c r="D32" s="96">
        <f t="shared" si="0"/>
        <v>68557.152401120213</v>
      </c>
      <c r="E32" s="96">
        <f t="shared" si="6"/>
        <v>123771.97020133153</v>
      </c>
      <c r="F32" s="96">
        <f t="shared" si="5"/>
        <v>192329.12260245174</v>
      </c>
      <c r="G32" s="96">
        <f t="shared" si="3"/>
        <v>5752555.3784661153</v>
      </c>
    </row>
    <row r="33" spans="1:9">
      <c r="A33" s="95"/>
      <c r="B33" s="95" t="s">
        <v>75</v>
      </c>
      <c r="C33" s="96">
        <f t="shared" si="4"/>
        <v>5752555.3784661153</v>
      </c>
      <c r="D33" s="96">
        <f t="shared" si="0"/>
        <v>67113.146082104693</v>
      </c>
      <c r="E33" s="96">
        <f t="shared" si="6"/>
        <v>125215.97652034705</v>
      </c>
      <c r="F33" s="96">
        <f t="shared" si="5"/>
        <v>192329.12260245174</v>
      </c>
      <c r="G33" s="96">
        <f t="shared" si="3"/>
        <v>5627339.4019457679</v>
      </c>
      <c r="H33" s="1"/>
      <c r="I33" s="1"/>
    </row>
    <row r="34" spans="1:9">
      <c r="A34" s="95" t="s">
        <v>13</v>
      </c>
      <c r="B34" s="95" t="s">
        <v>76</v>
      </c>
      <c r="C34" s="96">
        <f t="shared" si="4"/>
        <v>5627339.4019457679</v>
      </c>
      <c r="D34" s="96">
        <f t="shared" si="0"/>
        <v>65652.293022700629</v>
      </c>
      <c r="E34" s="96">
        <f t="shared" si="6"/>
        <v>126676.82957975111</v>
      </c>
      <c r="F34" s="96">
        <f t="shared" si="5"/>
        <v>192329.12260245174</v>
      </c>
      <c r="G34" s="96">
        <f t="shared" si="3"/>
        <v>5500662.5723660169</v>
      </c>
    </row>
    <row r="35" spans="1:9">
      <c r="A35" s="95"/>
      <c r="B35" s="95" t="s">
        <v>77</v>
      </c>
      <c r="C35" s="96">
        <f t="shared" si="4"/>
        <v>5500662.5723660169</v>
      </c>
      <c r="D35" s="96">
        <f t="shared" si="0"/>
        <v>64174.396677603538</v>
      </c>
      <c r="E35" s="96">
        <f t="shared" si="6"/>
        <v>128154.7259248482</v>
      </c>
      <c r="F35" s="96">
        <f t="shared" si="5"/>
        <v>192329.12260245174</v>
      </c>
      <c r="G35" s="96">
        <f t="shared" si="3"/>
        <v>5372507.8464411683</v>
      </c>
    </row>
    <row r="36" spans="1:9">
      <c r="A36" s="95"/>
      <c r="B36" s="95" t="s">
        <v>78</v>
      </c>
      <c r="C36" s="96">
        <f t="shared" si="4"/>
        <v>5372507.8464411683</v>
      </c>
      <c r="D36" s="96">
        <f t="shared" si="0"/>
        <v>62679.258208480307</v>
      </c>
      <c r="E36" s="96">
        <f t="shared" si="6"/>
        <v>129649.86439397142</v>
      </c>
      <c r="F36" s="96">
        <f t="shared" si="5"/>
        <v>192329.12260245174</v>
      </c>
      <c r="G36" s="96">
        <f t="shared" si="3"/>
        <v>5242857.9820471965</v>
      </c>
    </row>
    <row r="37" spans="1:9">
      <c r="A37" s="95"/>
      <c r="B37" s="95" t="s">
        <v>79</v>
      </c>
      <c r="C37" s="96">
        <f t="shared" si="4"/>
        <v>5242857.9820471965</v>
      </c>
      <c r="D37" s="96">
        <f t="shared" si="0"/>
        <v>61166.676457217305</v>
      </c>
      <c r="E37" s="96">
        <f t="shared" si="6"/>
        <v>131162.44614523443</v>
      </c>
      <c r="F37" s="96">
        <f t="shared" si="5"/>
        <v>192329.12260245174</v>
      </c>
      <c r="G37" s="96">
        <f t="shared" si="3"/>
        <v>5111695.5359019618</v>
      </c>
    </row>
    <row r="38" spans="1:9">
      <c r="A38" s="95"/>
      <c r="B38" s="95" t="s">
        <v>80</v>
      </c>
      <c r="C38" s="96">
        <f t="shared" si="4"/>
        <v>5111695.5359019618</v>
      </c>
      <c r="D38" s="96">
        <f t="shared" si="0"/>
        <v>59636.447918856225</v>
      </c>
      <c r="E38" s="96">
        <f t="shared" si="6"/>
        <v>132692.67468359551</v>
      </c>
      <c r="F38" s="96">
        <f t="shared" si="5"/>
        <v>192329.12260245174</v>
      </c>
      <c r="G38" s="96">
        <f t="shared" si="3"/>
        <v>4979002.8612183668</v>
      </c>
    </row>
    <row r="39" spans="1:9">
      <c r="A39" s="95"/>
      <c r="B39" s="95" t="s">
        <v>81</v>
      </c>
      <c r="C39" s="96">
        <f t="shared" si="4"/>
        <v>4979002.8612183668</v>
      </c>
      <c r="D39" s="96">
        <f t="shared" si="0"/>
        <v>58088.366714214288</v>
      </c>
      <c r="E39" s="96">
        <f t="shared" si="6"/>
        <v>134240.75588823744</v>
      </c>
      <c r="F39" s="96">
        <f t="shared" si="5"/>
        <v>192329.12260245174</v>
      </c>
      <c r="G39" s="96">
        <f t="shared" si="3"/>
        <v>4844762.1053301292</v>
      </c>
    </row>
    <row r="40" spans="1:9">
      <c r="A40" s="95"/>
      <c r="B40" s="95" t="s">
        <v>82</v>
      </c>
      <c r="C40" s="96">
        <f t="shared" si="4"/>
        <v>4844762.1053301292</v>
      </c>
      <c r="D40" s="96">
        <f t="shared" si="0"/>
        <v>56522.224562184849</v>
      </c>
      <c r="E40" s="96">
        <f t="shared" si="6"/>
        <v>135806.89804026688</v>
      </c>
      <c r="F40" s="96">
        <f t="shared" si="5"/>
        <v>192329.12260245174</v>
      </c>
      <c r="G40" s="96">
        <f t="shared" si="3"/>
        <v>4708955.2072898624</v>
      </c>
    </row>
    <row r="41" spans="1:9">
      <c r="A41" s="95"/>
      <c r="B41" s="95" t="s">
        <v>83</v>
      </c>
      <c r="C41" s="96">
        <f t="shared" si="4"/>
        <v>4708955.2072898624</v>
      </c>
      <c r="D41" s="96">
        <f t="shared" si="0"/>
        <v>54937.810751715064</v>
      </c>
      <c r="E41" s="96">
        <f t="shared" si="6"/>
        <v>137391.31185073667</v>
      </c>
      <c r="F41" s="96">
        <f t="shared" si="5"/>
        <v>192329.12260245174</v>
      </c>
      <c r="G41" s="96">
        <f t="shared" si="3"/>
        <v>4571563.8954391256</v>
      </c>
    </row>
    <row r="42" spans="1:9">
      <c r="A42" s="95"/>
      <c r="B42" s="95" t="s">
        <v>84</v>
      </c>
      <c r="C42" s="96">
        <f t="shared" si="4"/>
        <v>4571563.8954391256</v>
      </c>
      <c r="D42" s="96">
        <f t="shared" ref="D42:D73" si="7">C42*$D$5/12</f>
        <v>53334.91211345647</v>
      </c>
      <c r="E42" s="96">
        <f t="shared" si="6"/>
        <v>138994.21048899528</v>
      </c>
      <c r="F42" s="96">
        <f t="shared" si="5"/>
        <v>192329.12260245174</v>
      </c>
      <c r="G42" s="96">
        <f t="shared" si="3"/>
        <v>4432569.6849501301</v>
      </c>
    </row>
    <row r="43" spans="1:9">
      <c r="A43" s="95"/>
      <c r="B43" s="95" t="s">
        <v>85</v>
      </c>
      <c r="C43" s="96">
        <f t="shared" si="4"/>
        <v>4432569.6849501301</v>
      </c>
      <c r="D43" s="96">
        <f t="shared" si="7"/>
        <v>51713.312991084851</v>
      </c>
      <c r="E43" s="96">
        <f t="shared" si="6"/>
        <v>140615.80961136689</v>
      </c>
      <c r="F43" s="96">
        <f t="shared" si="5"/>
        <v>192329.12260245174</v>
      </c>
      <c r="G43" s="96">
        <f t="shared" si="3"/>
        <v>4291953.875338763</v>
      </c>
    </row>
    <row r="44" spans="1:9">
      <c r="A44" s="95"/>
      <c r="B44" s="95" t="s">
        <v>86</v>
      </c>
      <c r="C44" s="96">
        <f t="shared" si="4"/>
        <v>4291953.875338763</v>
      </c>
      <c r="D44" s="96">
        <f t="shared" si="7"/>
        <v>50072.795212285571</v>
      </c>
      <c r="E44" s="96">
        <f t="shared" si="6"/>
        <v>142256.32739016617</v>
      </c>
      <c r="F44" s="96">
        <f t="shared" si="5"/>
        <v>192329.12260245174</v>
      </c>
      <c r="G44" s="96">
        <f t="shared" si="3"/>
        <v>4149697.547948597</v>
      </c>
    </row>
    <row r="45" spans="1:9">
      <c r="A45" s="95"/>
      <c r="B45" s="95" t="s">
        <v>87</v>
      </c>
      <c r="C45" s="96">
        <f t="shared" si="4"/>
        <v>4149697.547948597</v>
      </c>
      <c r="D45" s="96">
        <f t="shared" si="7"/>
        <v>48413.138059400306</v>
      </c>
      <c r="E45" s="96">
        <f t="shared" si="6"/>
        <v>143915.98454305143</v>
      </c>
      <c r="F45" s="96">
        <f t="shared" si="5"/>
        <v>192329.12260245174</v>
      </c>
      <c r="G45" s="96">
        <f t="shared" si="3"/>
        <v>4005781.5634055454</v>
      </c>
      <c r="H45" s="1"/>
      <c r="I45" s="1"/>
    </row>
    <row r="46" spans="1:9">
      <c r="A46" s="95" t="s">
        <v>14</v>
      </c>
      <c r="B46" s="95" t="s">
        <v>88</v>
      </c>
      <c r="C46" s="96">
        <f t="shared" si="4"/>
        <v>4005781.5634055454</v>
      </c>
      <c r="D46" s="96">
        <f t="shared" si="7"/>
        <v>46734.118239731361</v>
      </c>
      <c r="E46" s="96">
        <f t="shared" si="6"/>
        <v>145595.00436272038</v>
      </c>
      <c r="F46" s="96">
        <f t="shared" si="5"/>
        <v>192329.12260245174</v>
      </c>
      <c r="G46" s="96">
        <f t="shared" si="3"/>
        <v>3860186.5590428249</v>
      </c>
    </row>
    <row r="47" spans="1:9">
      <c r="A47" s="95"/>
      <c r="B47" s="95" t="s">
        <v>89</v>
      </c>
      <c r="C47" s="96">
        <f t="shared" si="4"/>
        <v>3860186.5590428249</v>
      </c>
      <c r="D47" s="96">
        <f t="shared" si="7"/>
        <v>45035.509855499629</v>
      </c>
      <c r="E47" s="96">
        <f t="shared" si="6"/>
        <v>147293.6127469521</v>
      </c>
      <c r="F47" s="96">
        <f t="shared" si="5"/>
        <v>192329.12260245174</v>
      </c>
      <c r="G47" s="96">
        <f t="shared" si="3"/>
        <v>3712892.9462958728</v>
      </c>
    </row>
    <row r="48" spans="1:9">
      <c r="A48" s="95"/>
      <c r="B48" s="95" t="s">
        <v>90</v>
      </c>
      <c r="C48" s="96">
        <f t="shared" si="4"/>
        <v>3712892.9462958728</v>
      </c>
      <c r="D48" s="96">
        <f t="shared" si="7"/>
        <v>43317.084373451849</v>
      </c>
      <c r="E48" s="96">
        <f t="shared" si="6"/>
        <v>149012.03822899988</v>
      </c>
      <c r="F48" s="96">
        <f t="shared" si="5"/>
        <v>192329.12260245174</v>
      </c>
      <c r="G48" s="96">
        <f t="shared" si="3"/>
        <v>3563880.908066873</v>
      </c>
    </row>
    <row r="49" spans="1:9">
      <c r="A49" s="95"/>
      <c r="B49" s="95" t="s">
        <v>91</v>
      </c>
      <c r="C49" s="96">
        <f t="shared" si="4"/>
        <v>3563880.908066873</v>
      </c>
      <c r="D49" s="96">
        <f t="shared" si="7"/>
        <v>41578.610594113525</v>
      </c>
      <c r="E49" s="96">
        <f t="shared" si="6"/>
        <v>150750.51200833821</v>
      </c>
      <c r="F49" s="96">
        <f t="shared" si="5"/>
        <v>192329.12260245174</v>
      </c>
      <c r="G49" s="96">
        <f t="shared" si="3"/>
        <v>3413130.3960585347</v>
      </c>
    </row>
    <row r="50" spans="1:9">
      <c r="A50" s="95"/>
      <c r="B50" s="95" t="s">
        <v>92</v>
      </c>
      <c r="C50" s="96">
        <f t="shared" si="4"/>
        <v>3413130.3960585347</v>
      </c>
      <c r="D50" s="96">
        <f t="shared" si="7"/>
        <v>39819.854620682912</v>
      </c>
      <c r="E50" s="96">
        <f t="shared" si="6"/>
        <v>152509.26798176882</v>
      </c>
      <c r="F50" s="96">
        <f t="shared" si="5"/>
        <v>192329.12260245174</v>
      </c>
      <c r="G50" s="96">
        <f t="shared" si="3"/>
        <v>3260621.1280767657</v>
      </c>
    </row>
    <row r="51" spans="1:9">
      <c r="A51" s="95"/>
      <c r="B51" s="95" t="s">
        <v>93</v>
      </c>
      <c r="C51" s="96">
        <f t="shared" si="4"/>
        <v>3260621.1280767657</v>
      </c>
      <c r="D51" s="96">
        <f t="shared" si="7"/>
        <v>38040.579827562273</v>
      </c>
      <c r="E51" s="96">
        <f t="shared" si="6"/>
        <v>154288.54277488947</v>
      </c>
      <c r="F51" s="96">
        <f t="shared" si="5"/>
        <v>192329.12260245174</v>
      </c>
      <c r="G51" s="96">
        <f t="shared" si="3"/>
        <v>3106332.5853018761</v>
      </c>
    </row>
    <row r="52" spans="1:9">
      <c r="A52" s="95"/>
      <c r="B52" s="95" t="s">
        <v>94</v>
      </c>
      <c r="C52" s="96">
        <f t="shared" si="4"/>
        <v>3106332.5853018761</v>
      </c>
      <c r="D52" s="96">
        <f t="shared" si="7"/>
        <v>36240.546828521889</v>
      </c>
      <c r="E52" s="96">
        <f t="shared" si="6"/>
        <v>156088.57577392986</v>
      </c>
      <c r="F52" s="96">
        <f t="shared" si="5"/>
        <v>192329.12260245174</v>
      </c>
      <c r="G52" s="96">
        <f t="shared" si="3"/>
        <v>2950244.0095279464</v>
      </c>
    </row>
    <row r="53" spans="1:9">
      <c r="A53" s="95"/>
      <c r="B53" s="95" t="s">
        <v>95</v>
      </c>
      <c r="C53" s="96">
        <f t="shared" si="4"/>
        <v>2950244.0095279464</v>
      </c>
      <c r="D53" s="96">
        <f t="shared" si="7"/>
        <v>34419.51344449271</v>
      </c>
      <c r="E53" s="96">
        <f t="shared" si="6"/>
        <v>157909.60915795903</v>
      </c>
      <c r="F53" s="96">
        <f t="shared" si="5"/>
        <v>192329.12260245174</v>
      </c>
      <c r="G53" s="96">
        <f t="shared" si="3"/>
        <v>2792334.4003699874</v>
      </c>
    </row>
    <row r="54" spans="1:9">
      <c r="A54" s="95"/>
      <c r="B54" s="95" t="s">
        <v>96</v>
      </c>
      <c r="C54" s="96">
        <f t="shared" si="4"/>
        <v>2792334.4003699874</v>
      </c>
      <c r="D54" s="96">
        <f t="shared" si="7"/>
        <v>32577.234670983191</v>
      </c>
      <c r="E54" s="96">
        <f t="shared" si="6"/>
        <v>159751.88793146855</v>
      </c>
      <c r="F54" s="96">
        <f t="shared" si="5"/>
        <v>192329.12260245174</v>
      </c>
      <c r="G54" s="96">
        <f t="shared" si="3"/>
        <v>2632582.5124385189</v>
      </c>
    </row>
    <row r="55" spans="1:9">
      <c r="A55" s="95"/>
      <c r="B55" s="95" t="s">
        <v>97</v>
      </c>
      <c r="C55" s="96">
        <f t="shared" si="4"/>
        <v>2632582.5124385189</v>
      </c>
      <c r="D55" s="96">
        <f t="shared" si="7"/>
        <v>30713.462645116058</v>
      </c>
      <c r="E55" s="96">
        <f t="shared" si="6"/>
        <v>161615.65995733568</v>
      </c>
      <c r="F55" s="96">
        <f t="shared" si="5"/>
        <v>192329.12260245174</v>
      </c>
      <c r="G55" s="96">
        <f t="shared" si="3"/>
        <v>2470966.8524811831</v>
      </c>
    </row>
    <row r="56" spans="1:9">
      <c r="A56" s="95"/>
      <c r="B56" s="95" t="s">
        <v>98</v>
      </c>
      <c r="C56" s="96">
        <f t="shared" si="4"/>
        <v>2470966.8524811831</v>
      </c>
      <c r="D56" s="96">
        <f t="shared" si="7"/>
        <v>28827.946612280473</v>
      </c>
      <c r="E56" s="96">
        <f t="shared" si="6"/>
        <v>163501.17599017126</v>
      </c>
      <c r="F56" s="96">
        <f t="shared" si="5"/>
        <v>192329.12260245174</v>
      </c>
      <c r="G56" s="96">
        <f t="shared" si="3"/>
        <v>2307465.6764910119</v>
      </c>
    </row>
    <row r="57" spans="1:9">
      <c r="A57" s="95"/>
      <c r="B57" s="95" t="s">
        <v>99</v>
      </c>
      <c r="C57" s="96">
        <f t="shared" si="4"/>
        <v>2307465.6764910119</v>
      </c>
      <c r="D57" s="96">
        <f t="shared" si="7"/>
        <v>26920.43289239514</v>
      </c>
      <c r="E57" s="96">
        <f t="shared" si="6"/>
        <v>165408.68971005658</v>
      </c>
      <c r="F57" s="96">
        <f t="shared" si="5"/>
        <v>192329.12260245174</v>
      </c>
      <c r="G57" s="96">
        <f t="shared" si="3"/>
        <v>2142056.9867809555</v>
      </c>
      <c r="H57" s="1"/>
      <c r="I57" s="1"/>
    </row>
    <row r="58" spans="1:9">
      <c r="A58" s="95" t="s">
        <v>15</v>
      </c>
      <c r="B58" s="95" t="s">
        <v>100</v>
      </c>
      <c r="C58" s="96">
        <f t="shared" si="4"/>
        <v>2142056.9867809555</v>
      </c>
      <c r="D58" s="96">
        <f t="shared" si="7"/>
        <v>24990.664845777817</v>
      </c>
      <c r="E58" s="96">
        <f t="shared" si="6"/>
        <v>167338.45775667392</v>
      </c>
      <c r="F58" s="96">
        <f t="shared" si="5"/>
        <v>192329.12260245174</v>
      </c>
      <c r="G58" s="96">
        <f t="shared" si="3"/>
        <v>1974718.5290242815</v>
      </c>
    </row>
    <row r="59" spans="1:9">
      <c r="A59" s="95"/>
      <c r="B59" s="95" t="s">
        <v>101</v>
      </c>
      <c r="C59" s="96">
        <f t="shared" si="4"/>
        <v>1974718.5290242815</v>
      </c>
      <c r="D59" s="96">
        <f t="shared" si="7"/>
        <v>23038.382838616617</v>
      </c>
      <c r="E59" s="96">
        <f t="shared" si="6"/>
        <v>169290.73976383512</v>
      </c>
      <c r="F59" s="96">
        <f t="shared" si="5"/>
        <v>192329.12260245174</v>
      </c>
      <c r="G59" s="96">
        <f t="shared" si="3"/>
        <v>1805427.7892604463</v>
      </c>
    </row>
    <row r="60" spans="1:9">
      <c r="A60" s="95"/>
      <c r="B60" s="95" t="s">
        <v>102</v>
      </c>
      <c r="C60" s="96">
        <f t="shared" si="4"/>
        <v>1805427.7892604463</v>
      </c>
      <c r="D60" s="96">
        <f t="shared" si="7"/>
        <v>21063.324208038543</v>
      </c>
      <c r="E60" s="96">
        <f t="shared" si="6"/>
        <v>171265.7983944132</v>
      </c>
      <c r="F60" s="96">
        <f t="shared" si="5"/>
        <v>192329.12260245174</v>
      </c>
      <c r="G60" s="96">
        <f t="shared" si="3"/>
        <v>1634161.9908660331</v>
      </c>
    </row>
    <row r="61" spans="1:9">
      <c r="A61" s="95"/>
      <c r="B61" s="95" t="s">
        <v>103</v>
      </c>
      <c r="C61" s="96">
        <f t="shared" si="4"/>
        <v>1634161.9908660331</v>
      </c>
      <c r="D61" s="96">
        <f t="shared" si="7"/>
        <v>19065.223226770388</v>
      </c>
      <c r="E61" s="96">
        <f t="shared" si="6"/>
        <v>173263.89937568136</v>
      </c>
      <c r="F61" s="96">
        <f t="shared" si="5"/>
        <v>192329.12260245174</v>
      </c>
      <c r="G61" s="96">
        <f t="shared" si="3"/>
        <v>1460898.0914903518</v>
      </c>
    </row>
    <row r="62" spans="1:9">
      <c r="A62" s="95"/>
      <c r="B62" s="95" t="s">
        <v>104</v>
      </c>
      <c r="C62" s="96">
        <f t="shared" si="4"/>
        <v>1460898.0914903518</v>
      </c>
      <c r="D62" s="96">
        <f t="shared" si="7"/>
        <v>17043.81106738744</v>
      </c>
      <c r="E62" s="96">
        <f t="shared" si="6"/>
        <v>175285.31153506431</v>
      </c>
      <c r="F62" s="96">
        <f t="shared" si="5"/>
        <v>192329.12260245174</v>
      </c>
      <c r="G62" s="96">
        <f t="shared" si="3"/>
        <v>1285612.7799552875</v>
      </c>
    </row>
    <row r="63" spans="1:9">
      <c r="A63" s="95"/>
      <c r="B63" s="95" t="s">
        <v>105</v>
      </c>
      <c r="C63" s="96">
        <f t="shared" si="4"/>
        <v>1285612.7799552875</v>
      </c>
      <c r="D63" s="96">
        <f t="shared" si="7"/>
        <v>14998.815766145022</v>
      </c>
      <c r="E63" s="96">
        <f t="shared" si="6"/>
        <v>177330.30683630673</v>
      </c>
      <c r="F63" s="96">
        <f t="shared" si="5"/>
        <v>192329.12260245174</v>
      </c>
      <c r="G63" s="96">
        <f t="shared" si="3"/>
        <v>1108282.4731189806</v>
      </c>
    </row>
    <row r="64" spans="1:9">
      <c r="A64" s="95"/>
      <c r="B64" s="95" t="s">
        <v>106</v>
      </c>
      <c r="C64" s="96">
        <f t="shared" si="4"/>
        <v>1108282.4731189806</v>
      </c>
      <c r="D64" s="96">
        <f t="shared" si="7"/>
        <v>12929.962186388109</v>
      </c>
      <c r="E64" s="96">
        <f t="shared" si="6"/>
        <v>179399.16041606362</v>
      </c>
      <c r="F64" s="96">
        <f t="shared" si="5"/>
        <v>192329.12260245174</v>
      </c>
      <c r="G64" s="96">
        <f t="shared" si="3"/>
        <v>928883.31270291703</v>
      </c>
    </row>
    <row r="65" spans="1:9">
      <c r="A65" s="95"/>
      <c r="B65" s="95" t="s">
        <v>107</v>
      </c>
      <c r="C65" s="96">
        <f t="shared" si="4"/>
        <v>928883.31270291703</v>
      </c>
      <c r="D65" s="96">
        <f t="shared" si="7"/>
        <v>10836.971981534034</v>
      </c>
      <c r="E65" s="96">
        <f t="shared" si="6"/>
        <v>181492.1506209177</v>
      </c>
      <c r="F65" s="96">
        <f t="shared" si="5"/>
        <v>192329.12260245174</v>
      </c>
      <c r="G65" s="96">
        <f t="shared" si="3"/>
        <v>747391.16208199935</v>
      </c>
    </row>
    <row r="66" spans="1:9">
      <c r="A66" s="95"/>
      <c r="B66" s="95" t="s">
        <v>108</v>
      </c>
      <c r="C66" s="96">
        <f t="shared" si="4"/>
        <v>747391.16208199935</v>
      </c>
      <c r="D66" s="96">
        <f t="shared" si="7"/>
        <v>8719.5635576233271</v>
      </c>
      <c r="E66" s="96">
        <f t="shared" si="6"/>
        <v>183609.55904482841</v>
      </c>
      <c r="F66" s="96">
        <f t="shared" si="5"/>
        <v>192329.12260245174</v>
      </c>
      <c r="G66" s="96">
        <f t="shared" si="3"/>
        <v>563781.60303717095</v>
      </c>
    </row>
    <row r="67" spans="1:9">
      <c r="A67" s="95"/>
      <c r="B67" s="95" t="s">
        <v>109</v>
      </c>
      <c r="C67" s="96">
        <f t="shared" si="4"/>
        <v>563781.60303717095</v>
      </c>
      <c r="D67" s="96">
        <f t="shared" si="7"/>
        <v>6577.452035433661</v>
      </c>
      <c r="E67" s="96">
        <f t="shared" si="6"/>
        <v>185751.67056701807</v>
      </c>
      <c r="F67" s="96">
        <f t="shared" si="5"/>
        <v>192329.12260245174</v>
      </c>
      <c r="G67" s="96">
        <f t="shared" si="3"/>
        <v>378029.93247015285</v>
      </c>
    </row>
    <row r="68" spans="1:9">
      <c r="A68" s="95"/>
      <c r="B68" s="95" t="s">
        <v>110</v>
      </c>
      <c r="C68" s="96">
        <f t="shared" si="4"/>
        <v>378029.93247015285</v>
      </c>
      <c r="D68" s="96">
        <f t="shared" si="7"/>
        <v>4410.3492121517838</v>
      </c>
      <c r="E68" s="96">
        <f t="shared" si="6"/>
        <v>187918.77339029996</v>
      </c>
      <c r="F68" s="96">
        <f t="shared" si="5"/>
        <v>192329.12260245174</v>
      </c>
      <c r="G68" s="96">
        <f t="shared" si="3"/>
        <v>190111.15907985289</v>
      </c>
    </row>
    <row r="69" spans="1:9">
      <c r="A69" s="95"/>
      <c r="B69" s="95" t="s">
        <v>111</v>
      </c>
      <c r="C69" s="96">
        <f t="shared" si="4"/>
        <v>190111.15907985289</v>
      </c>
      <c r="D69" s="96">
        <f t="shared" si="7"/>
        <v>2217.9635225982838</v>
      </c>
      <c r="E69" s="96">
        <f t="shared" si="6"/>
        <v>190111.15907985345</v>
      </c>
      <c r="F69" s="96">
        <f t="shared" si="5"/>
        <v>192329.12260245174</v>
      </c>
      <c r="G69" s="96">
        <f t="shared" si="3"/>
        <v>-5.5297277867794037E-10</v>
      </c>
      <c r="H69" s="1"/>
      <c r="I69" s="1"/>
    </row>
    <row r="70" spans="1:9">
      <c r="A70" s="95" t="s">
        <v>16</v>
      </c>
      <c r="B70" s="95" t="s">
        <v>112</v>
      </c>
      <c r="C70" s="96">
        <f t="shared" si="4"/>
        <v>-5.5297277867794037E-10</v>
      </c>
      <c r="D70" s="96">
        <f t="shared" si="7"/>
        <v>-6.4513490845759713E-12</v>
      </c>
      <c r="E70" s="96">
        <f t="shared" si="6"/>
        <v>192329.12260245174</v>
      </c>
      <c r="F70" s="96">
        <f t="shared" si="5"/>
        <v>192329.12260245174</v>
      </c>
      <c r="G70" s="96">
        <f t="shared" si="3"/>
        <v>-192329.12260245229</v>
      </c>
    </row>
    <row r="71" spans="1:9">
      <c r="A71" s="95"/>
      <c r="B71" s="95" t="s">
        <v>113</v>
      </c>
      <c r="C71" s="96">
        <f t="shared" si="4"/>
        <v>-192329.12260245229</v>
      </c>
      <c r="D71" s="96">
        <f t="shared" si="7"/>
        <v>-2243.8397636952768</v>
      </c>
      <c r="E71" s="96">
        <f t="shared" si="6"/>
        <v>194572.96236614703</v>
      </c>
      <c r="F71" s="96">
        <f t="shared" si="5"/>
        <v>192329.12260245174</v>
      </c>
      <c r="G71" s="96">
        <f t="shared" si="3"/>
        <v>-386902.08496859932</v>
      </c>
    </row>
    <row r="72" spans="1:9">
      <c r="A72" s="95"/>
      <c r="B72" s="95" t="s">
        <v>114</v>
      </c>
      <c r="C72" s="96">
        <f t="shared" si="4"/>
        <v>-386902.08496859932</v>
      </c>
      <c r="D72" s="96">
        <f t="shared" si="7"/>
        <v>-4513.8576579669925</v>
      </c>
      <c r="E72" s="96">
        <f t="shared" si="6"/>
        <v>196842.98026041873</v>
      </c>
      <c r="F72" s="96">
        <f t="shared" si="5"/>
        <v>192329.12260245174</v>
      </c>
      <c r="G72" s="96">
        <f t="shared" si="3"/>
        <v>-583745.06522901799</v>
      </c>
    </row>
    <row r="73" spans="1:9">
      <c r="A73" s="95"/>
      <c r="B73" s="95" t="s">
        <v>115</v>
      </c>
      <c r="C73" s="96">
        <f t="shared" si="4"/>
        <v>-583745.06522901799</v>
      </c>
      <c r="D73" s="96">
        <f t="shared" si="7"/>
        <v>-6810.3590943385434</v>
      </c>
      <c r="E73" s="96">
        <f t="shared" si="6"/>
        <v>199139.48169679029</v>
      </c>
      <c r="F73" s="96">
        <f t="shared" si="5"/>
        <v>192329.12260245174</v>
      </c>
      <c r="G73" s="96">
        <f t="shared" si="3"/>
        <v>-782884.5469258083</v>
      </c>
    </row>
    <row r="74" spans="1:9">
      <c r="A74" s="95"/>
      <c r="B74" s="95" t="s">
        <v>116</v>
      </c>
      <c r="C74" s="96">
        <f t="shared" si="4"/>
        <v>-782884.5469258083</v>
      </c>
      <c r="D74" s="96">
        <f t="shared" ref="D74:D93" si="8">C74*$D$5/12</f>
        <v>-9133.6530474677638</v>
      </c>
      <c r="E74" s="96">
        <f t="shared" si="6"/>
        <v>201462.77564991949</v>
      </c>
      <c r="F74" s="96">
        <f t="shared" si="5"/>
        <v>192329.12260245174</v>
      </c>
      <c r="G74" s="96">
        <f t="shared" si="3"/>
        <v>-984347.32257572783</v>
      </c>
    </row>
    <row r="75" spans="1:9">
      <c r="A75" s="95"/>
      <c r="B75" s="95" t="s">
        <v>117</v>
      </c>
      <c r="C75" s="96">
        <f t="shared" si="4"/>
        <v>-984347.32257572783</v>
      </c>
      <c r="D75" s="96">
        <f t="shared" si="8"/>
        <v>-11484.052096716827</v>
      </c>
      <c r="E75" s="96">
        <f t="shared" si="6"/>
        <v>203813.17469916856</v>
      </c>
      <c r="F75" s="96">
        <f t="shared" ref="F75:F93" si="9">$D$8</f>
        <v>192329.12260245174</v>
      </c>
      <c r="G75" s="96">
        <f t="shared" ref="G75:G93" si="10">C75-E75</f>
        <v>-1188160.4972748964</v>
      </c>
    </row>
    <row r="76" spans="1:9">
      <c r="A76" s="95"/>
      <c r="B76" s="95" t="s">
        <v>118</v>
      </c>
      <c r="C76" s="96">
        <f t="shared" ref="C76:C93" si="11">G75</f>
        <v>-1188160.4972748964</v>
      </c>
      <c r="D76" s="96">
        <f t="shared" si="8"/>
        <v>-13861.872468207126</v>
      </c>
      <c r="E76" s="96">
        <f t="shared" si="6"/>
        <v>206190.99507065886</v>
      </c>
      <c r="F76" s="96">
        <f t="shared" si="9"/>
        <v>192329.12260245174</v>
      </c>
      <c r="G76" s="96">
        <f t="shared" si="10"/>
        <v>-1394351.4923455552</v>
      </c>
    </row>
    <row r="77" spans="1:9">
      <c r="A77" s="95"/>
      <c r="B77" s="95" t="s">
        <v>119</v>
      </c>
      <c r="C77" s="96">
        <f t="shared" si="11"/>
        <v>-1394351.4923455552</v>
      </c>
      <c r="D77" s="96">
        <f t="shared" si="8"/>
        <v>-16267.434077364813</v>
      </c>
      <c r="E77" s="96">
        <f t="shared" si="6"/>
        <v>208596.55667981654</v>
      </c>
      <c r="F77" s="96">
        <f t="shared" si="9"/>
        <v>192329.12260245174</v>
      </c>
      <c r="G77" s="96">
        <f t="shared" si="10"/>
        <v>-1602948.0490253717</v>
      </c>
    </row>
    <row r="78" spans="1:9">
      <c r="A78" s="95"/>
      <c r="B78" s="95" t="s">
        <v>120</v>
      </c>
      <c r="C78" s="96">
        <f t="shared" si="11"/>
        <v>-1602948.0490253717</v>
      </c>
      <c r="D78" s="96">
        <f t="shared" si="8"/>
        <v>-18701.060571962673</v>
      </c>
      <c r="E78" s="96">
        <f t="shared" si="6"/>
        <v>211030.18317441441</v>
      </c>
      <c r="F78" s="96">
        <f t="shared" si="9"/>
        <v>192329.12260245174</v>
      </c>
      <c r="G78" s="96">
        <f t="shared" si="10"/>
        <v>-1813978.232199786</v>
      </c>
    </row>
    <row r="79" spans="1:9">
      <c r="A79" s="95"/>
      <c r="B79" s="95" t="s">
        <v>121</v>
      </c>
      <c r="C79" s="96">
        <f t="shared" si="11"/>
        <v>-1813978.232199786</v>
      </c>
      <c r="D79" s="96">
        <f t="shared" si="8"/>
        <v>-21163.079375664172</v>
      </c>
      <c r="E79" s="96">
        <f t="shared" si="6"/>
        <v>213492.20197811592</v>
      </c>
      <c r="F79" s="96">
        <f t="shared" si="9"/>
        <v>192329.12260245174</v>
      </c>
      <c r="G79" s="96">
        <f t="shared" si="10"/>
        <v>-2027470.4341779018</v>
      </c>
    </row>
    <row r="80" spans="1:9">
      <c r="A80" s="95"/>
      <c r="B80" s="95" t="s">
        <v>122</v>
      </c>
      <c r="C80" s="96">
        <f t="shared" si="11"/>
        <v>-2027470.4341779018</v>
      </c>
      <c r="D80" s="96">
        <f t="shared" si="8"/>
        <v>-23653.821732075525</v>
      </c>
      <c r="E80" s="96">
        <f t="shared" si="6"/>
        <v>215982.94433452727</v>
      </c>
      <c r="F80" s="96">
        <f t="shared" si="9"/>
        <v>192329.12260245174</v>
      </c>
      <c r="G80" s="96">
        <f t="shared" si="10"/>
        <v>-2243453.3785124291</v>
      </c>
    </row>
    <row r="81" spans="1:9">
      <c r="A81" s="95"/>
      <c r="B81" s="95" t="s">
        <v>123</v>
      </c>
      <c r="C81" s="96">
        <f t="shared" si="11"/>
        <v>-2243453.3785124291</v>
      </c>
      <c r="D81" s="96">
        <f t="shared" si="8"/>
        <v>-26173.622749311675</v>
      </c>
      <c r="E81" s="96">
        <f t="shared" ref="E81:E93" si="12">F81-D81</f>
        <v>218502.74535176341</v>
      </c>
      <c r="F81" s="96">
        <f t="shared" si="9"/>
        <v>192329.12260245174</v>
      </c>
      <c r="G81" s="96">
        <f t="shared" si="10"/>
        <v>-2461956.1238641925</v>
      </c>
      <c r="H81" s="1"/>
      <c r="I81" s="1"/>
    </row>
    <row r="82" spans="1:9">
      <c r="A82" s="95" t="s">
        <v>283</v>
      </c>
      <c r="B82" s="95" t="s">
        <v>218</v>
      </c>
      <c r="C82" s="96">
        <f t="shared" si="11"/>
        <v>-2461956.1238641925</v>
      </c>
      <c r="D82" s="96">
        <f t="shared" si="8"/>
        <v>-28722.821445082245</v>
      </c>
      <c r="E82" s="96">
        <f t="shared" si="12"/>
        <v>221051.94404753399</v>
      </c>
      <c r="F82" s="96">
        <f t="shared" si="9"/>
        <v>192329.12260245174</v>
      </c>
      <c r="G82" s="96">
        <f t="shared" si="10"/>
        <v>-2683008.0679117264</v>
      </c>
    </row>
    <row r="83" spans="1:9">
      <c r="A83" s="95"/>
      <c r="B83" s="95" t="s">
        <v>219</v>
      </c>
      <c r="C83" s="96">
        <f t="shared" si="11"/>
        <v>-2683008.0679117264</v>
      </c>
      <c r="D83" s="96">
        <f t="shared" si="8"/>
        <v>-31301.760792303478</v>
      </c>
      <c r="E83" s="96">
        <f t="shared" si="12"/>
        <v>223630.88339475522</v>
      </c>
      <c r="F83" s="96">
        <f t="shared" si="9"/>
        <v>192329.12260245174</v>
      </c>
      <c r="G83" s="96">
        <f t="shared" si="10"/>
        <v>-2906638.9513064818</v>
      </c>
    </row>
    <row r="84" spans="1:9">
      <c r="A84" s="95"/>
      <c r="B84" s="95" t="s">
        <v>220</v>
      </c>
      <c r="C84" s="96">
        <f t="shared" si="11"/>
        <v>-2906638.9513064818</v>
      </c>
      <c r="D84" s="96">
        <f t="shared" si="8"/>
        <v>-33910.78776524229</v>
      </c>
      <c r="E84" s="96">
        <f t="shared" si="12"/>
        <v>226239.91036769404</v>
      </c>
      <c r="F84" s="96">
        <f t="shared" si="9"/>
        <v>192329.12260245174</v>
      </c>
      <c r="G84" s="96">
        <f t="shared" si="10"/>
        <v>-3132878.8616741761</v>
      </c>
    </row>
    <row r="85" spans="1:9">
      <c r="A85" s="95"/>
      <c r="B85" s="95" t="s">
        <v>221</v>
      </c>
      <c r="C85" s="96">
        <f t="shared" si="11"/>
        <v>-3132878.8616741761</v>
      </c>
      <c r="D85" s="96">
        <f t="shared" si="8"/>
        <v>-36550.253386198725</v>
      </c>
      <c r="E85" s="96">
        <f t="shared" si="12"/>
        <v>228879.37598865046</v>
      </c>
      <c r="F85" s="96">
        <f t="shared" si="9"/>
        <v>192329.12260245174</v>
      </c>
      <c r="G85" s="96">
        <f t="shared" si="10"/>
        <v>-3361758.2376628267</v>
      </c>
    </row>
    <row r="86" spans="1:9">
      <c r="A86" s="95"/>
      <c r="B86" s="95" t="s">
        <v>222</v>
      </c>
      <c r="C86" s="96">
        <f t="shared" si="11"/>
        <v>-3361758.2376628267</v>
      </c>
      <c r="D86" s="96">
        <f t="shared" si="8"/>
        <v>-39220.512772732982</v>
      </c>
      <c r="E86" s="96">
        <f t="shared" si="12"/>
        <v>231549.63537518471</v>
      </c>
      <c r="F86" s="96">
        <f t="shared" si="9"/>
        <v>192329.12260245174</v>
      </c>
      <c r="G86" s="96">
        <f t="shared" si="10"/>
        <v>-3593307.8730380116</v>
      </c>
    </row>
    <row r="87" spans="1:9">
      <c r="A87" s="95"/>
      <c r="B87" s="95" t="s">
        <v>223</v>
      </c>
      <c r="C87" s="96">
        <f t="shared" si="11"/>
        <v>-3593307.8730380116</v>
      </c>
      <c r="D87" s="96">
        <f t="shared" si="8"/>
        <v>-41921.925185443477</v>
      </c>
      <c r="E87" s="96">
        <f t="shared" si="12"/>
        <v>234251.04778789522</v>
      </c>
      <c r="F87" s="96">
        <f t="shared" si="9"/>
        <v>192329.12260245174</v>
      </c>
      <c r="G87" s="96">
        <f t="shared" si="10"/>
        <v>-3827558.920825907</v>
      </c>
    </row>
    <row r="88" spans="1:9">
      <c r="A88" s="95"/>
      <c r="B88" s="95" t="s">
        <v>224</v>
      </c>
      <c r="C88" s="96">
        <f t="shared" si="11"/>
        <v>-3827558.920825907</v>
      </c>
      <c r="D88" s="96">
        <f t="shared" si="8"/>
        <v>-44654.854076302254</v>
      </c>
      <c r="E88" s="96">
        <f t="shared" si="12"/>
        <v>236983.976678754</v>
      </c>
      <c r="F88" s="96">
        <f t="shared" si="9"/>
        <v>192329.12260245174</v>
      </c>
      <c r="G88" s="96">
        <f t="shared" si="10"/>
        <v>-4064542.8975046612</v>
      </c>
    </row>
    <row r="89" spans="1:9">
      <c r="A89" s="95"/>
      <c r="B89" s="95" t="s">
        <v>225</v>
      </c>
      <c r="C89" s="96">
        <f t="shared" si="11"/>
        <v>-4064542.8975046612</v>
      </c>
      <c r="D89" s="96">
        <f t="shared" si="8"/>
        <v>-47419.667137554381</v>
      </c>
      <c r="E89" s="96">
        <f t="shared" si="12"/>
        <v>239748.78974000612</v>
      </c>
      <c r="F89" s="96">
        <f t="shared" si="9"/>
        <v>192329.12260245174</v>
      </c>
      <c r="G89" s="96">
        <f t="shared" si="10"/>
        <v>-4304291.6872446677</v>
      </c>
    </row>
    <row r="90" spans="1:9">
      <c r="A90" s="95"/>
      <c r="B90" s="95" t="s">
        <v>226</v>
      </c>
      <c r="C90" s="96">
        <f t="shared" si="11"/>
        <v>-4304291.6872446677</v>
      </c>
      <c r="D90" s="96">
        <f t="shared" si="8"/>
        <v>-50216.736351187799</v>
      </c>
      <c r="E90" s="96">
        <f t="shared" si="12"/>
        <v>242545.85895363954</v>
      </c>
      <c r="F90" s="96">
        <f t="shared" si="9"/>
        <v>192329.12260245174</v>
      </c>
      <c r="G90" s="96">
        <f t="shared" si="10"/>
        <v>-4546837.5461983075</v>
      </c>
    </row>
    <row r="91" spans="1:9">
      <c r="A91" s="95"/>
      <c r="B91" s="95" t="s">
        <v>227</v>
      </c>
      <c r="C91" s="96">
        <f t="shared" si="11"/>
        <v>-4546837.5461983075</v>
      </c>
      <c r="D91" s="96">
        <f t="shared" si="8"/>
        <v>-53046.438038980261</v>
      </c>
      <c r="E91" s="96">
        <f t="shared" si="12"/>
        <v>245375.56064143201</v>
      </c>
      <c r="F91" s="96">
        <f t="shared" si="9"/>
        <v>192329.12260245174</v>
      </c>
      <c r="G91" s="96">
        <f t="shared" si="10"/>
        <v>-4792213.1068397397</v>
      </c>
    </row>
    <row r="92" spans="1:9">
      <c r="A92" s="95"/>
      <c r="B92" s="95" t="s">
        <v>228</v>
      </c>
      <c r="C92" s="96">
        <f t="shared" si="11"/>
        <v>-4792213.1068397397</v>
      </c>
      <c r="D92" s="96">
        <f t="shared" si="8"/>
        <v>-55909.152913130303</v>
      </c>
      <c r="E92" s="96">
        <f t="shared" si="12"/>
        <v>248238.27551558203</v>
      </c>
      <c r="F92" s="96">
        <f t="shared" si="9"/>
        <v>192329.12260245174</v>
      </c>
      <c r="G92" s="96">
        <f t="shared" si="10"/>
        <v>-5040451.3823553221</v>
      </c>
    </row>
    <row r="93" spans="1:9">
      <c r="A93" s="95"/>
      <c r="B93" s="95" t="s">
        <v>229</v>
      </c>
      <c r="C93" s="96">
        <f t="shared" si="11"/>
        <v>-5040451.3823553221</v>
      </c>
      <c r="D93" s="96">
        <f t="shared" si="8"/>
        <v>-58805.266127478768</v>
      </c>
      <c r="E93" s="96">
        <f t="shared" si="12"/>
        <v>251134.38872993051</v>
      </c>
      <c r="F93" s="96">
        <f t="shared" si="9"/>
        <v>192329.12260245174</v>
      </c>
      <c r="G93" s="96">
        <f t="shared" si="10"/>
        <v>-5291585.771085253</v>
      </c>
    </row>
    <row r="94" spans="1:9">
      <c r="A94" s="94"/>
      <c r="B94" s="94"/>
      <c r="C94" s="94"/>
      <c r="D94" s="103">
        <f>SUM(D10:D93)</f>
        <v>2573904.4284859891</v>
      </c>
      <c r="E94" s="103">
        <f>SUM(E10:E93)</f>
        <v>12964899.065085251</v>
      </c>
      <c r="F94" s="94"/>
      <c r="G94" s="94"/>
    </row>
    <row r="95" spans="1:9" ht="39.950000000000003" customHeight="1">
      <c r="A95" s="434" t="s">
        <v>427</v>
      </c>
      <c r="B95" s="434"/>
      <c r="C95" s="434"/>
      <c r="D95" s="434"/>
      <c r="E95" s="434"/>
      <c r="F95" s="434"/>
      <c r="G95" s="434"/>
      <c r="H95" s="434"/>
    </row>
    <row r="96" spans="1:9">
      <c r="A96" t="s">
        <v>546</v>
      </c>
    </row>
    <row r="97" spans="1:2">
      <c r="A97">
        <v>1</v>
      </c>
      <c r="B97" t="s">
        <v>547</v>
      </c>
    </row>
    <row r="98" spans="1:2">
      <c r="A98">
        <v>2</v>
      </c>
      <c r="B98" t="s">
        <v>548</v>
      </c>
    </row>
  </sheetData>
  <mergeCells count="2">
    <mergeCell ref="A2:G2"/>
    <mergeCell ref="A95:H95"/>
  </mergeCells>
  <pageMargins left="0.7" right="0.7" top="0.75" bottom="0.75" header="0.3" footer="0.3"/>
  <pageSetup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V63"/>
  <sheetViews>
    <sheetView view="pageBreakPreview" zoomScale="55" zoomScaleSheetLayoutView="55" workbookViewId="0">
      <selection activeCell="G22" sqref="G22"/>
    </sheetView>
  </sheetViews>
  <sheetFormatPr defaultRowHeight="15"/>
  <cols>
    <col min="2" max="2" width="7.5703125" bestFit="1" customWidth="1"/>
    <col min="3" max="3" width="30.5703125" customWidth="1"/>
    <col min="4" max="4" width="16.85546875" bestFit="1" customWidth="1"/>
    <col min="5" max="5" width="12.5703125" bestFit="1" customWidth="1"/>
    <col min="6" max="6" width="16" bestFit="1" customWidth="1"/>
    <col min="7" max="7" width="20.42578125" bestFit="1" customWidth="1"/>
    <col min="8" max="8" width="23.140625" bestFit="1" customWidth="1"/>
    <col min="9" max="9" width="26.85546875" bestFit="1" customWidth="1"/>
    <col min="10" max="10" width="29.42578125" bestFit="1" customWidth="1"/>
    <col min="11" max="11" width="32.140625" bestFit="1" customWidth="1"/>
    <col min="14" max="14" width="24" hidden="1" customWidth="1"/>
    <col min="15" max="15" width="11.85546875" hidden="1" customWidth="1"/>
    <col min="16" max="16" width="9.5703125" hidden="1" customWidth="1"/>
    <col min="17" max="17" width="10.85546875" hidden="1" customWidth="1"/>
    <col min="18" max="18" width="11.28515625" hidden="1" customWidth="1"/>
    <col min="19" max="20" width="0" hidden="1" customWidth="1"/>
    <col min="21" max="21" width="24" hidden="1" customWidth="1"/>
    <col min="22" max="22" width="12.5703125" hidden="1" customWidth="1"/>
    <col min="23" max="23" width="0" hidden="1" customWidth="1"/>
  </cols>
  <sheetData>
    <row r="2" spans="3:22" ht="18.75">
      <c r="C2" s="417" t="s">
        <v>571</v>
      </c>
      <c r="D2" s="417"/>
      <c r="E2" s="417"/>
      <c r="F2" s="417"/>
      <c r="G2" s="417"/>
      <c r="H2" s="417"/>
      <c r="I2" s="417"/>
      <c r="J2" s="417"/>
      <c r="K2" s="417"/>
      <c r="L2" s="210"/>
    </row>
    <row r="4" spans="3:22">
      <c r="C4" s="82" t="s">
        <v>0</v>
      </c>
      <c r="D4" s="82"/>
      <c r="E4" s="83" t="s">
        <v>2</v>
      </c>
      <c r="F4" s="83" t="s">
        <v>3</v>
      </c>
      <c r="G4" s="83" t="s">
        <v>4</v>
      </c>
      <c r="H4" s="83" t="s">
        <v>5</v>
      </c>
      <c r="I4" s="83" t="s">
        <v>6</v>
      </c>
      <c r="J4" s="83" t="s">
        <v>171</v>
      </c>
      <c r="K4" s="83" t="s">
        <v>170</v>
      </c>
      <c r="L4" s="94"/>
      <c r="M4" s="94"/>
      <c r="N4" s="251"/>
      <c r="O4" s="251"/>
      <c r="P4" s="251"/>
      <c r="Q4" s="251"/>
      <c r="R4" s="251"/>
      <c r="S4" s="251"/>
      <c r="T4" s="251"/>
      <c r="U4" s="251"/>
      <c r="V4" s="251"/>
    </row>
    <row r="5" spans="3:22">
      <c r="C5" s="95" t="s">
        <v>374</v>
      </c>
      <c r="D5" s="95"/>
      <c r="E5" s="95"/>
      <c r="F5" s="95"/>
      <c r="G5" s="95"/>
      <c r="H5" s="95"/>
      <c r="I5" s="95"/>
      <c r="J5" s="95"/>
      <c r="K5" s="95"/>
      <c r="L5" s="94"/>
      <c r="M5" s="94"/>
      <c r="N5" s="436" t="s">
        <v>542</v>
      </c>
      <c r="O5" s="436"/>
      <c r="P5" s="436"/>
      <c r="Q5" s="436"/>
      <c r="R5" s="436"/>
      <c r="S5" s="251"/>
      <c r="T5" s="251"/>
      <c r="U5" s="436" t="s">
        <v>543</v>
      </c>
      <c r="V5" s="436"/>
    </row>
    <row r="6" spans="3:22">
      <c r="C6" s="95" t="s">
        <v>375</v>
      </c>
      <c r="D6" s="190"/>
      <c r="E6" s="95"/>
      <c r="F6" s="96">
        <f t="shared" ref="F6:K9" si="0">E15</f>
        <v>0</v>
      </c>
      <c r="G6" s="96">
        <f t="shared" si="0"/>
        <v>0</v>
      </c>
      <c r="H6" s="96">
        <f t="shared" si="0"/>
        <v>0</v>
      </c>
      <c r="I6" s="96">
        <f t="shared" si="0"/>
        <v>0</v>
      </c>
      <c r="J6" s="96">
        <f t="shared" si="0"/>
        <v>0</v>
      </c>
      <c r="K6" s="96">
        <f t="shared" si="0"/>
        <v>0</v>
      </c>
      <c r="L6" s="94"/>
      <c r="M6" s="94"/>
      <c r="N6" s="435" t="s">
        <v>544</v>
      </c>
      <c r="O6" s="435"/>
      <c r="P6" s="435"/>
      <c r="Q6" s="435"/>
      <c r="R6" s="435"/>
      <c r="S6" s="251"/>
      <c r="T6" s="251"/>
      <c r="U6" s="435" t="s">
        <v>544</v>
      </c>
      <c r="V6" s="435"/>
    </row>
    <row r="7" spans="3:22">
      <c r="C7" s="95" t="s">
        <v>460</v>
      </c>
      <c r="D7" s="190"/>
      <c r="E7" s="95"/>
      <c r="F7" s="96">
        <f t="shared" si="0"/>
        <v>1053433.076697289</v>
      </c>
      <c r="G7" s="96">
        <f t="shared" si="0"/>
        <v>1382630.9131651921</v>
      </c>
      <c r="H7" s="96">
        <f t="shared" si="0"/>
        <v>1742114.9505881418</v>
      </c>
      <c r="I7" s="96">
        <f t="shared" si="0"/>
        <v>2134090.8144704732</v>
      </c>
      <c r="J7" s="96">
        <f t="shared" si="0"/>
        <v>2560908.977364569</v>
      </c>
      <c r="K7" s="96">
        <f t="shared" si="0"/>
        <v>3025073.7295118966</v>
      </c>
      <c r="L7" s="94"/>
      <c r="M7" s="94"/>
      <c r="N7" s="252" t="s">
        <v>0</v>
      </c>
      <c r="O7" s="252" t="s">
        <v>165</v>
      </c>
      <c r="P7" s="252" t="s">
        <v>166</v>
      </c>
      <c r="Q7" s="252" t="s">
        <v>320</v>
      </c>
      <c r="R7" s="252" t="s">
        <v>321</v>
      </c>
      <c r="S7" s="251"/>
      <c r="T7" s="251"/>
      <c r="U7" s="344" t="s">
        <v>0</v>
      </c>
      <c r="V7" s="344" t="s">
        <v>501</v>
      </c>
    </row>
    <row r="8" spans="3:22">
      <c r="C8" s="95" t="s">
        <v>561</v>
      </c>
      <c r="D8" s="190"/>
      <c r="E8" s="95"/>
      <c r="F8" s="96">
        <f t="shared" si="0"/>
        <v>1104760.7536596749</v>
      </c>
      <c r="G8" s="96">
        <f t="shared" si="0"/>
        <v>1449794.3202462234</v>
      </c>
      <c r="H8" s="96">
        <f t="shared" si="0"/>
        <v>1826740.8435102415</v>
      </c>
      <c r="I8" s="96">
        <f t="shared" si="0"/>
        <v>2237757.5333000459</v>
      </c>
      <c r="J8" s="96">
        <f t="shared" si="0"/>
        <v>2685309.0399600551</v>
      </c>
      <c r="K8" s="96">
        <f t="shared" si="0"/>
        <v>3172021.3034528159</v>
      </c>
      <c r="L8" s="94"/>
      <c r="M8" s="94"/>
      <c r="N8" s="253" t="s">
        <v>376</v>
      </c>
      <c r="O8" s="253">
        <f>'13.Facility 2 Grain Processing'!C159</f>
        <v>5200</v>
      </c>
      <c r="P8" s="253">
        <f>'13.Facility 2 Grain Processing'!C160</f>
        <v>0</v>
      </c>
      <c r="Q8" s="253">
        <f>'13.Facility 2 Grain Processing'!C161</f>
        <v>6000</v>
      </c>
      <c r="R8" s="253">
        <f>'13.Facility 2 Grain Processing'!C162</f>
        <v>5900</v>
      </c>
      <c r="S8" s="251"/>
      <c r="T8" s="251"/>
      <c r="U8" s="253" t="s">
        <v>350</v>
      </c>
      <c r="V8" s="253">
        <f>'17.Facility 6 Horti Processing '!C163</f>
        <v>6000</v>
      </c>
    </row>
    <row r="9" spans="3:22">
      <c r="C9" s="95" t="str">
        <f>C18</f>
        <v xml:space="preserve">Horticulture Processing </v>
      </c>
      <c r="D9" s="95"/>
      <c r="E9" s="95"/>
      <c r="F9" s="96">
        <f>E18</f>
        <v>0</v>
      </c>
      <c r="G9" s="96">
        <f t="shared" si="0"/>
        <v>0</v>
      </c>
      <c r="H9" s="96">
        <f t="shared" si="0"/>
        <v>0</v>
      </c>
      <c r="I9" s="96">
        <f t="shared" si="0"/>
        <v>0</v>
      </c>
      <c r="J9" s="96">
        <f t="shared" si="0"/>
        <v>0</v>
      </c>
      <c r="K9" s="96">
        <f t="shared" si="0"/>
        <v>0</v>
      </c>
      <c r="L9" s="94"/>
      <c r="M9" s="94"/>
      <c r="N9" s="253" t="str">
        <f>'13.Facility 2 Grain Processing'!A169</f>
        <v>Oil (Liters)</v>
      </c>
      <c r="O9" s="253">
        <f>('13.Facility 2 Grain Processing'!B169*'13.Facility 2 Grain Processing'!C169/1000)*100</f>
        <v>0</v>
      </c>
      <c r="P9" s="253">
        <f>O9</f>
        <v>0</v>
      </c>
      <c r="Q9" s="253">
        <f t="shared" ref="Q9:R9" si="1">P9</f>
        <v>0</v>
      </c>
      <c r="R9" s="253">
        <f t="shared" si="1"/>
        <v>0</v>
      </c>
      <c r="S9" s="251"/>
      <c r="T9" s="251"/>
      <c r="U9" s="253" t="str">
        <f>'17.Facility 6 Horti Processing '!A164</f>
        <v>Other Consumbales</v>
      </c>
      <c r="V9" s="254">
        <f>'17.Facility 6 Horti Processing '!C164</f>
        <v>2000</v>
      </c>
    </row>
    <row r="10" spans="3:22">
      <c r="C10" s="95"/>
      <c r="D10" s="95"/>
      <c r="E10" s="95"/>
      <c r="F10" s="96"/>
      <c r="G10" s="96"/>
      <c r="H10" s="96"/>
      <c r="I10" s="96"/>
      <c r="J10" s="96"/>
      <c r="K10" s="96"/>
      <c r="L10" s="94"/>
      <c r="M10" s="94"/>
      <c r="N10" s="253" t="str">
        <f>'13.Facility 2 Grain Processing'!A170</f>
        <v xml:space="preserve">Daily Labour </v>
      </c>
      <c r="O10" s="255">
        <f>('13.Facility 2 Grain Processing'!B170*'13.Facility 2 Grain Processing'!C170)/('13.Facility 2 Grain Processing'!B5*'13.Facility 2 Grain Processing'!B6)</f>
        <v>9.375</v>
      </c>
      <c r="P10" s="255">
        <f>O10</f>
        <v>9.375</v>
      </c>
      <c r="Q10" s="255">
        <f t="shared" ref="Q10:R10" si="2">P10</f>
        <v>9.375</v>
      </c>
      <c r="R10" s="255">
        <f t="shared" si="2"/>
        <v>9.375</v>
      </c>
      <c r="S10" s="251"/>
      <c r="T10" s="251"/>
      <c r="U10" s="253" t="str">
        <f>'17.Facility 6 Horti Processing '!A165</f>
        <v xml:space="preserve">Daily Labour </v>
      </c>
      <c r="V10" s="254">
        <f>'17.Facility 6 Horti Processing '!B165*'17.Facility 6 Horti Processing '!C165/('17.Facility 6 Horti Processing '!B5*'17.Facility 6 Horti Processing '!B6)</f>
        <v>187.5</v>
      </c>
    </row>
    <row r="11" spans="3:22">
      <c r="C11" s="95"/>
      <c r="D11" s="95"/>
      <c r="E11" s="95"/>
      <c r="F11" s="96"/>
      <c r="G11" s="96"/>
      <c r="H11" s="96"/>
      <c r="I11" s="96"/>
      <c r="J11" s="96"/>
      <c r="K11" s="96"/>
      <c r="L11" s="94"/>
      <c r="M11" s="94"/>
      <c r="N11" s="253" t="str">
        <f>'13.Facility 2 Grain Processing'!A171</f>
        <v>Electricity Charges</v>
      </c>
      <c r="O11" s="255">
        <f>('13.Facility 2 Grain Processing'!B171*'13.Facility 2 Grain Processing'!C171)/('13.Facility 2 Grain Processing'!B5*'13.Facility 2 Grain Processing'!B6)</f>
        <v>0</v>
      </c>
      <c r="P11" s="255">
        <f>O11</f>
        <v>0</v>
      </c>
      <c r="Q11" s="255">
        <f t="shared" ref="Q11" si="3">P11</f>
        <v>0</v>
      </c>
      <c r="R11" s="255">
        <f t="shared" ref="R11" si="4">Q11</f>
        <v>0</v>
      </c>
      <c r="S11" s="251"/>
      <c r="T11" s="251"/>
      <c r="U11" s="253" t="str">
        <f>'17.Facility 6 Horti Processing '!A166</f>
        <v>Electricity Charges</v>
      </c>
      <c r="V11" s="253">
        <f>'17.Facility 6 Horti Processing '!B166*'17.Facility 6 Horti Processing '!C166/('17.Facility 6 Horti Processing '!B5*'17.Facility 6 Horti Processing '!B6)</f>
        <v>0</v>
      </c>
    </row>
    <row r="12" spans="3:22">
      <c r="C12" s="95" t="s">
        <v>1</v>
      </c>
      <c r="D12" s="95"/>
      <c r="E12" s="96"/>
      <c r="F12" s="96">
        <f t="shared" ref="F12:K12" si="5">SUM(F6:F11)</f>
        <v>2158193.8303569639</v>
      </c>
      <c r="G12" s="96">
        <f t="shared" si="5"/>
        <v>2832425.2334114155</v>
      </c>
      <c r="H12" s="96">
        <f t="shared" si="5"/>
        <v>3568855.7940983833</v>
      </c>
      <c r="I12" s="96">
        <f t="shared" si="5"/>
        <v>4371848.3477705196</v>
      </c>
      <c r="J12" s="96">
        <f t="shared" si="5"/>
        <v>5246218.0173246246</v>
      </c>
      <c r="K12" s="96">
        <f t="shared" si="5"/>
        <v>6197095.032964712</v>
      </c>
      <c r="L12" s="94"/>
      <c r="M12" s="94"/>
      <c r="N12" s="253" t="str">
        <f>'13.Facility 2 Grain Processing'!A172</f>
        <v>Loading/Unloading Charges</v>
      </c>
      <c r="O12" s="253">
        <f>'13.Facility 2 Grain Processing'!C172*2</f>
        <v>20</v>
      </c>
      <c r="P12" s="253">
        <f>O12</f>
        <v>20</v>
      </c>
      <c r="Q12" s="253">
        <f t="shared" ref="Q12:R13" si="6">P12</f>
        <v>20</v>
      </c>
      <c r="R12" s="253">
        <f t="shared" si="6"/>
        <v>20</v>
      </c>
      <c r="S12" s="251"/>
      <c r="T12" s="251"/>
      <c r="U12" s="253" t="str">
        <f>'17.Facility 6 Horti Processing '!A167</f>
        <v>Loading/Unloading Charges</v>
      </c>
      <c r="V12" s="253">
        <f>'17.Facility 6 Horti Processing '!C167</f>
        <v>10</v>
      </c>
    </row>
    <row r="13" spans="3:22">
      <c r="C13" s="95"/>
      <c r="D13" s="95"/>
      <c r="E13" s="95"/>
      <c r="F13" s="96"/>
      <c r="G13" s="96"/>
      <c r="H13" s="96"/>
      <c r="I13" s="96"/>
      <c r="J13" s="96"/>
      <c r="K13" s="96"/>
      <c r="L13" s="94"/>
      <c r="M13" s="94"/>
      <c r="N13" s="253" t="str">
        <f>'13.Facility 2 Grain Processing'!A173</f>
        <v>packaging Exp</v>
      </c>
      <c r="O13" s="253">
        <f>'13.Facility 2 Grain Processing'!C173*2</f>
        <v>40</v>
      </c>
      <c r="P13" s="253">
        <f>O13</f>
        <v>40</v>
      </c>
      <c r="Q13" s="253">
        <f t="shared" si="6"/>
        <v>40</v>
      </c>
      <c r="R13" s="253">
        <f t="shared" si="6"/>
        <v>40</v>
      </c>
      <c r="S13" s="251"/>
      <c r="T13" s="251"/>
      <c r="U13" s="253" t="str">
        <f>'17.Facility 6 Horti Processing '!A168</f>
        <v>packaging Exp</v>
      </c>
      <c r="V13" s="10">
        <f>'17.Facility 6 Horti Processing '!C168*100</f>
        <v>200</v>
      </c>
    </row>
    <row r="14" spans="3:22">
      <c r="C14" s="97" t="s">
        <v>352</v>
      </c>
      <c r="D14" s="95"/>
      <c r="E14" s="95"/>
      <c r="F14" s="96"/>
      <c r="G14" s="96"/>
      <c r="H14" s="96"/>
      <c r="I14" s="96"/>
      <c r="J14" s="96"/>
      <c r="K14" s="96"/>
      <c r="L14" s="94"/>
      <c r="M14" s="94"/>
      <c r="N14" s="253"/>
      <c r="O14" s="10"/>
      <c r="P14" s="10"/>
      <c r="Q14" s="10"/>
      <c r="R14" s="10"/>
      <c r="S14" s="251"/>
      <c r="T14" s="251"/>
      <c r="U14" s="10"/>
      <c r="V14" s="10"/>
    </row>
    <row r="15" spans="3:22">
      <c r="C15" s="95" t="str">
        <f>C6</f>
        <v>Agri Input</v>
      </c>
      <c r="D15" s="282">
        <v>0.05</v>
      </c>
      <c r="E15" s="96">
        <f>SUM('16.Facility 5 Agri Input'!D197:D252)*$D$15</f>
        <v>0</v>
      </c>
      <c r="F15" s="96">
        <f>SUM('16.Facility 5 Agri Input'!E197:E252)*$D$15</f>
        <v>0</v>
      </c>
      <c r="G15" s="96">
        <f>SUM('16.Facility 5 Agri Input'!F197:F252)*$D$15</f>
        <v>0</v>
      </c>
      <c r="H15" s="96">
        <f>SUM('16.Facility 5 Agri Input'!G197:G252)*$D$15</f>
        <v>0</v>
      </c>
      <c r="I15" s="96">
        <f>SUM('16.Facility 5 Agri Input'!H197:H252)*$D$15</f>
        <v>0</v>
      </c>
      <c r="J15" s="96">
        <f>SUM('16.Facility 5 Agri Input'!I197:I252)*$D$15</f>
        <v>0</v>
      </c>
      <c r="K15" s="96">
        <f>SUM('16.Facility 5 Agri Input'!J197:J252)*$D$15</f>
        <v>0</v>
      </c>
      <c r="L15" s="94"/>
      <c r="M15" s="94"/>
      <c r="N15" s="10"/>
      <c r="O15" s="10"/>
      <c r="P15" s="10"/>
      <c r="Q15" s="10"/>
      <c r="R15" s="10"/>
      <c r="U15" s="10"/>
      <c r="V15" s="10"/>
    </row>
    <row r="16" spans="3:22">
      <c r="C16" s="95" t="str">
        <f>C7</f>
        <v>Trading</v>
      </c>
      <c r="D16" s="282">
        <v>0.05</v>
      </c>
      <c r="E16" s="96">
        <f>SUM('12.Facility 1 - Trading'!D233:D284)*$D$16</f>
        <v>1053433.076697289</v>
      </c>
      <c r="F16" s="96">
        <f>SUM('12.Facility 1 - Trading'!E233:E284)*$D$16</f>
        <v>1382630.9131651921</v>
      </c>
      <c r="G16" s="96">
        <f>SUM('12.Facility 1 - Trading'!F233:F284)*$D$16</f>
        <v>1742114.9505881418</v>
      </c>
      <c r="H16" s="96">
        <f>SUM('12.Facility 1 - Trading'!G233:G284)*$D$16</f>
        <v>2134090.8144704732</v>
      </c>
      <c r="I16" s="96">
        <f>SUM('12.Facility 1 - Trading'!H233:H284)*$D$16</f>
        <v>2560908.977364569</v>
      </c>
      <c r="J16" s="96">
        <f>SUM('12.Facility 1 - Trading'!I233:I284)*$D$16</f>
        <v>3025073.7295118966</v>
      </c>
      <c r="K16" s="96">
        <f>SUM('12.Facility 1 - Trading'!J233:J284)*$D$16</f>
        <v>3529252.6844305466</v>
      </c>
      <c r="L16" s="94"/>
      <c r="M16" s="94"/>
      <c r="N16" s="252" t="s">
        <v>377</v>
      </c>
      <c r="O16" s="256">
        <f>SUM(O8:O13)</f>
        <v>5269.375</v>
      </c>
      <c r="P16" s="256">
        <f>SUM(P8:P13)</f>
        <v>69.375</v>
      </c>
      <c r="Q16" s="256">
        <f>SUM(Q8:Q13)</f>
        <v>6069.375</v>
      </c>
      <c r="R16" s="256">
        <f>SUM(R8:R13)</f>
        <v>5969.375</v>
      </c>
      <c r="U16" s="252" t="s">
        <v>1</v>
      </c>
      <c r="V16" s="256">
        <f>SUM(V8:V15)</f>
        <v>8397.5</v>
      </c>
    </row>
    <row r="17" spans="1:18">
      <c r="C17" s="95" t="str">
        <f>C8</f>
        <v xml:space="preserve">Grain Processing </v>
      </c>
      <c r="D17" s="282">
        <v>0.05</v>
      </c>
      <c r="E17" s="96">
        <f>SUM('13.Facility 2 Grain Processing'!D159:D173)*$D$17</f>
        <v>1104760.7536596749</v>
      </c>
      <c r="F17" s="96">
        <f>SUM('13.Facility 2 Grain Processing'!E159:E173)*$D$17</f>
        <v>1449794.3202462234</v>
      </c>
      <c r="G17" s="96">
        <f>SUM('13.Facility 2 Grain Processing'!F159:F173)*$D$17</f>
        <v>1826740.8435102415</v>
      </c>
      <c r="H17" s="96">
        <f>SUM('13.Facility 2 Grain Processing'!G159:G173)*$D$17</f>
        <v>2237757.5333000459</v>
      </c>
      <c r="I17" s="96">
        <f>SUM('13.Facility 2 Grain Processing'!H159:H173)*$D$17</f>
        <v>2685309.0399600551</v>
      </c>
      <c r="J17" s="96">
        <f>SUM('13.Facility 2 Grain Processing'!I159:I173)*$D$17</f>
        <v>3172021.3034528159</v>
      </c>
      <c r="K17" s="96">
        <f>SUM('13.Facility 2 Grain Processing'!J159:J173)*$D$17</f>
        <v>3700691.520694952</v>
      </c>
      <c r="L17" s="94"/>
      <c r="M17" s="94"/>
    </row>
    <row r="18" spans="1:18">
      <c r="C18" s="95" t="s">
        <v>529</v>
      </c>
      <c r="D18" s="282">
        <v>0</v>
      </c>
      <c r="E18" s="96">
        <f>SUM('17.Facility 6 Horti Processing '!D163:D168)*$D$18</f>
        <v>0</v>
      </c>
      <c r="F18" s="96">
        <f>SUM('17.Facility 6 Horti Processing '!E163:E168)*$D$18</f>
        <v>0</v>
      </c>
      <c r="G18" s="96">
        <f>SUM('17.Facility 6 Horti Processing '!F163:F168)*$D$18</f>
        <v>0</v>
      </c>
      <c r="H18" s="96">
        <f>SUM('17.Facility 6 Horti Processing '!G163:G168)*$D$18</f>
        <v>0</v>
      </c>
      <c r="I18" s="96">
        <f>SUM('17.Facility 6 Horti Processing '!H163:H168)*$D$18</f>
        <v>0</v>
      </c>
      <c r="J18" s="96">
        <f>SUM('17.Facility 6 Horti Processing '!I163:I168)*$D$18</f>
        <v>0</v>
      </c>
      <c r="K18" s="96">
        <f>SUM('17.Facility 6 Horti Processing '!J163:J168)*$D$18</f>
        <v>0</v>
      </c>
      <c r="L18" s="94"/>
      <c r="M18" s="94"/>
    </row>
    <row r="19" spans="1:18">
      <c r="C19" s="95"/>
      <c r="D19" s="249"/>
      <c r="E19" s="96"/>
      <c r="F19" s="96"/>
      <c r="G19" s="96"/>
      <c r="H19" s="96"/>
      <c r="I19" s="96"/>
      <c r="J19" s="96"/>
      <c r="K19" s="96"/>
      <c r="L19" s="94"/>
      <c r="M19" s="94"/>
    </row>
    <row r="20" spans="1:18">
      <c r="C20" s="95"/>
      <c r="D20" s="95"/>
      <c r="E20" s="95"/>
      <c r="F20" s="96"/>
      <c r="G20" s="96"/>
      <c r="H20" s="96"/>
      <c r="I20" s="96"/>
      <c r="J20" s="96"/>
      <c r="K20" s="96"/>
      <c r="L20" s="94"/>
      <c r="M20" s="94"/>
    </row>
    <row r="21" spans="1:18">
      <c r="C21" s="95" t="s">
        <v>1</v>
      </c>
      <c r="D21" s="95"/>
      <c r="E21" s="203">
        <f t="shared" ref="E21:K21" si="7">SUM(E15:E20)</f>
        <v>2158193.8303569639</v>
      </c>
      <c r="F21" s="96">
        <f t="shared" si="7"/>
        <v>2832425.2334114155</v>
      </c>
      <c r="G21" s="96">
        <f t="shared" si="7"/>
        <v>3568855.7940983833</v>
      </c>
      <c r="H21" s="96">
        <f t="shared" si="7"/>
        <v>4371848.3477705196</v>
      </c>
      <c r="I21" s="96">
        <f t="shared" si="7"/>
        <v>5246218.0173246246</v>
      </c>
      <c r="J21" s="96">
        <f t="shared" si="7"/>
        <v>6197095.032964712</v>
      </c>
      <c r="K21" s="96">
        <f t="shared" si="7"/>
        <v>7229944.2051254986</v>
      </c>
      <c r="L21" s="94"/>
      <c r="M21" s="94"/>
    </row>
    <row r="22" spans="1:18">
      <c r="C22" s="94"/>
      <c r="D22" s="94"/>
      <c r="E22" s="94"/>
      <c r="F22" s="94"/>
      <c r="G22" s="94"/>
      <c r="H22" s="94"/>
      <c r="I22" s="94"/>
      <c r="J22" s="94"/>
      <c r="K22" s="94"/>
      <c r="L22" s="94"/>
      <c r="M22" s="94"/>
    </row>
    <row r="23" spans="1:18" ht="41.1" customHeight="1">
      <c r="A23" s="422" t="s">
        <v>428</v>
      </c>
      <c r="B23" s="422"/>
      <c r="C23" s="422"/>
      <c r="D23" s="422"/>
      <c r="E23" s="422"/>
      <c r="F23" s="422"/>
      <c r="G23" s="422"/>
      <c r="H23" s="422"/>
      <c r="I23" s="422"/>
      <c r="J23" s="422"/>
      <c r="K23" s="422"/>
      <c r="L23" s="343"/>
      <c r="M23" s="343"/>
      <c r="N23" s="343"/>
      <c r="O23" s="292"/>
      <c r="P23" s="292"/>
      <c r="Q23" s="292"/>
      <c r="R23" s="292"/>
    </row>
    <row r="24" spans="1:18">
      <c r="A24" t="s">
        <v>546</v>
      </c>
    </row>
    <row r="25" spans="1:18">
      <c r="A25">
        <v>1</v>
      </c>
      <c r="B25" t="s">
        <v>549</v>
      </c>
    </row>
    <row r="28" spans="1:18" ht="18.75">
      <c r="B28" s="417" t="s">
        <v>572</v>
      </c>
      <c r="C28" s="417"/>
      <c r="D28" s="417"/>
      <c r="E28" s="417"/>
      <c r="F28" s="417"/>
      <c r="G28" s="417"/>
      <c r="H28" s="417"/>
      <c r="I28" s="417"/>
      <c r="J28" s="417"/>
      <c r="K28" s="417"/>
    </row>
    <row r="30" spans="1:18">
      <c r="B30" s="439" t="s">
        <v>146</v>
      </c>
      <c r="C30" s="439" t="s">
        <v>0</v>
      </c>
      <c r="D30" s="442" t="s">
        <v>373</v>
      </c>
      <c r="E30" s="444" t="s">
        <v>160</v>
      </c>
      <c r="F30" s="445"/>
      <c r="G30" s="445"/>
      <c r="H30" s="445"/>
      <c r="I30" s="445"/>
      <c r="J30" s="445"/>
      <c r="K30" s="445"/>
    </row>
    <row r="31" spans="1:18">
      <c r="B31" s="439"/>
      <c r="C31" s="439"/>
      <c r="D31" s="443"/>
      <c r="E31" s="215" t="s">
        <v>2</v>
      </c>
      <c r="F31" s="215" t="s">
        <v>3</v>
      </c>
      <c r="G31" s="215" t="s">
        <v>4</v>
      </c>
      <c r="H31" s="215" t="s">
        <v>5</v>
      </c>
      <c r="I31" s="215" t="s">
        <v>6</v>
      </c>
      <c r="J31" s="215" t="s">
        <v>171</v>
      </c>
      <c r="K31" s="215" t="s">
        <v>170</v>
      </c>
    </row>
    <row r="32" spans="1:18">
      <c r="B32" s="218"/>
      <c r="C32" s="219"/>
      <c r="D32" s="219"/>
      <c r="E32" s="220"/>
      <c r="F32" s="220"/>
      <c r="G32" s="220"/>
      <c r="H32" s="220"/>
      <c r="I32" s="220"/>
      <c r="J32" s="220"/>
      <c r="K32" s="220"/>
    </row>
    <row r="33" spans="2:11" ht="28.5">
      <c r="B33" s="221" t="s">
        <v>175</v>
      </c>
      <c r="C33" s="222" t="s">
        <v>353</v>
      </c>
      <c r="D33" s="236"/>
      <c r="E33" s="223"/>
      <c r="F33" s="223"/>
      <c r="G33" s="223"/>
      <c r="H33" s="223"/>
      <c r="I33" s="223"/>
      <c r="J33" s="223"/>
      <c r="K33" s="223"/>
    </row>
    <row r="34" spans="2:11">
      <c r="B34" s="278">
        <v>1</v>
      </c>
      <c r="C34" s="224" t="s">
        <v>375</v>
      </c>
      <c r="D34" s="236">
        <v>14</v>
      </c>
      <c r="E34" s="223">
        <f>('16.Facility 5 Agri Input'!D191/365)*$D$34</f>
        <v>0</v>
      </c>
      <c r="F34" s="223">
        <f>('16.Facility 5 Agri Input'!E191/365)*$D$34</f>
        <v>0</v>
      </c>
      <c r="G34" s="223">
        <f>('16.Facility 5 Agri Input'!F191/365)*$D$34</f>
        <v>0</v>
      </c>
      <c r="H34" s="223">
        <f>('16.Facility 5 Agri Input'!G191/365)*$D$34</f>
        <v>0</v>
      </c>
      <c r="I34" s="223">
        <f>('16.Facility 5 Agri Input'!H191/365)*$D$34</f>
        <v>0</v>
      </c>
      <c r="J34" s="223">
        <f>('16.Facility 5 Agri Input'!I191/365)*$D$34</f>
        <v>0</v>
      </c>
      <c r="K34" s="223">
        <f>('16.Facility 5 Agri Input'!J191/365)*$D$34</f>
        <v>0</v>
      </c>
    </row>
    <row r="35" spans="2:11">
      <c r="B35" s="278">
        <v>2</v>
      </c>
      <c r="C35" s="224" t="s">
        <v>370</v>
      </c>
      <c r="D35" s="236">
        <v>14</v>
      </c>
      <c r="E35" s="223">
        <f>('15. Facility 4 Custom Hiring'!E39/365)*$D$35</f>
        <v>0</v>
      </c>
      <c r="F35" s="223">
        <f>('15. Facility 4 Custom Hiring'!F39/365)*$D$35</f>
        <v>0</v>
      </c>
      <c r="G35" s="223">
        <f>('15. Facility 4 Custom Hiring'!G39/365)*$D$35</f>
        <v>0</v>
      </c>
      <c r="H35" s="223">
        <f>('15. Facility 4 Custom Hiring'!H39/365)*$D$35</f>
        <v>0</v>
      </c>
      <c r="I35" s="223">
        <f>('15. Facility 4 Custom Hiring'!I39/365)*$D$35</f>
        <v>0</v>
      </c>
      <c r="J35" s="223">
        <f>('15. Facility 4 Custom Hiring'!J39/365)*$D$35</f>
        <v>0</v>
      </c>
      <c r="K35" s="223">
        <f>('15. Facility 4 Custom Hiring'!K39/365)*$D$35</f>
        <v>0</v>
      </c>
    </row>
    <row r="36" spans="2:11">
      <c r="B36" s="278">
        <v>3</v>
      </c>
      <c r="C36" s="224" t="s">
        <v>371</v>
      </c>
      <c r="D36" s="236">
        <v>14</v>
      </c>
      <c r="E36" s="223">
        <f>('12.Facility 1 - Trading'!D229/365)*$D$36</f>
        <v>788263.58327593969</v>
      </c>
      <c r="F36" s="223">
        <f>('12.Facility 1 - Trading'!E229/365)*$D$36</f>
        <v>1077416.3178290906</v>
      </c>
      <c r="G36" s="223">
        <f>('12.Facility 1 - Trading'!F229/365)*$D$36</f>
        <v>1359792.6296155732</v>
      </c>
      <c r="H36" s="223">
        <f>('12.Facility 1 - Trading'!G229/365)*$D$36</f>
        <v>1667713.0317861324</v>
      </c>
      <c r="I36" s="223">
        <f>('12.Facility 1 - Trading'!H229/365)*$D$36</f>
        <v>2003025.9925997078</v>
      </c>
      <c r="J36" s="223">
        <f>('12.Facility 1 - Trading'!I229/365)*$D$36</f>
        <v>2367700.9669151758</v>
      </c>
      <c r="K36" s="223">
        <f>('12.Facility 1 - Trading'!J229/365)*$D$36</f>
        <v>2763835.8736806912</v>
      </c>
    </row>
    <row r="37" spans="2:11">
      <c r="B37" s="278">
        <v>4</v>
      </c>
      <c r="C37" s="224" t="s">
        <v>141</v>
      </c>
      <c r="D37" s="236">
        <v>14</v>
      </c>
      <c r="E37" s="223">
        <f>('13.Facility 2 Grain Processing'!D155/365)*$D$37</f>
        <v>1062591.1917001642</v>
      </c>
      <c r="F37" s="223">
        <f>('13.Facility 2 Grain Processing'!E155/365)*$D$37</f>
        <v>1395676.4451581095</v>
      </c>
      <c r="G37" s="223">
        <f>('13.Facility 2 Grain Processing'!F155/365)*$D$37</f>
        <v>1758552.3208992179</v>
      </c>
      <c r="H37" s="223">
        <f>('13.Facility 2 Grain Processing'!G155/365)*$D$37</f>
        <v>2154226.593101542</v>
      </c>
      <c r="I37" s="223">
        <f>('13.Facility 2 Grain Processing'!H155/365)*$D$37</f>
        <v>2585071.9117218512</v>
      </c>
      <c r="J37" s="223">
        <f>('13.Facility 2 Grain Processing'!I155/365)*$D$37</f>
        <v>3053616.1957214363</v>
      </c>
      <c r="K37" s="223">
        <f>('13.Facility 2 Grain Processing'!J155/365)*$D$37</f>
        <v>3562552.2283416758</v>
      </c>
    </row>
    <row r="38" spans="2:11">
      <c r="B38" s="278">
        <v>5</v>
      </c>
      <c r="C38" s="224" t="s">
        <v>304</v>
      </c>
      <c r="D38" s="236">
        <v>14</v>
      </c>
      <c r="E38" s="223">
        <f>('14. Facility 3 Warehouse'!D23/365)*$D$38</f>
        <v>52195.068493150684</v>
      </c>
      <c r="F38" s="223">
        <f>('14. Facility 3 Warehouse'!E23/365)*$D$38</f>
        <v>58719.452054794521</v>
      </c>
      <c r="G38" s="223">
        <f>('14. Facility 3 Warehouse'!F23/365)*$D$38</f>
        <v>65765.786301369866</v>
      </c>
      <c r="H38" s="223">
        <f>('14. Facility 3 Warehouse'!G23/365)*$D$38</f>
        <v>73369.955342465779</v>
      </c>
      <c r="I38" s="223">
        <f>('14. Facility 3 Warehouse'!H23/365)*$D$38</f>
        <v>81570.126821917831</v>
      </c>
      <c r="J38" s="223">
        <f>('14. Facility 3 Warehouse'!I23/365)*$D$38</f>
        <v>85648.633163013728</v>
      </c>
      <c r="K38" s="223">
        <f>('14. Facility 3 Warehouse'!J23/365)*$D$38</f>
        <v>89931.064821164429</v>
      </c>
    </row>
    <row r="39" spans="2:11" ht="30">
      <c r="B39" s="278">
        <v>6</v>
      </c>
      <c r="C39" s="224" t="s">
        <v>541</v>
      </c>
      <c r="D39" s="236">
        <v>14</v>
      </c>
      <c r="E39" s="223">
        <f>('17.Facility 6 Horti Processing '!D159/365)*$D$39</f>
        <v>0</v>
      </c>
      <c r="F39" s="223">
        <f>('17.Facility 6 Horti Processing '!E159/365)*$D$39</f>
        <v>0</v>
      </c>
      <c r="G39" s="223">
        <f>('17.Facility 6 Horti Processing '!F159/365)*$D$39</f>
        <v>0</v>
      </c>
      <c r="H39" s="223">
        <f>('17.Facility 6 Horti Processing '!G159/365)*$D$39</f>
        <v>0</v>
      </c>
      <c r="I39" s="223">
        <f>('17.Facility 6 Horti Processing '!H159/365)*$D$39</f>
        <v>0</v>
      </c>
      <c r="J39" s="223">
        <f>('17.Facility 6 Horti Processing '!I159/365)*$D$39</f>
        <v>0</v>
      </c>
      <c r="K39" s="223">
        <f>('17.Facility 6 Horti Processing '!J159/365)*$D$39</f>
        <v>0</v>
      </c>
    </row>
    <row r="40" spans="2:11">
      <c r="B40" s="278"/>
      <c r="C40" s="224"/>
      <c r="D40" s="236"/>
      <c r="E40" s="223"/>
      <c r="F40" s="223"/>
      <c r="G40" s="223"/>
      <c r="H40" s="223"/>
      <c r="I40" s="223"/>
      <c r="J40" s="223"/>
      <c r="K40" s="223"/>
    </row>
    <row r="41" spans="2:11">
      <c r="B41" s="263"/>
      <c r="C41" s="222" t="s">
        <v>173</v>
      </c>
      <c r="D41" s="236"/>
      <c r="E41" s="223">
        <f>SUM(E34:E40)</f>
        <v>1903049.8434692547</v>
      </c>
      <c r="F41" s="223">
        <f t="shared" ref="F41:K41" si="8">SUM(F34:F40)</f>
        <v>2531812.2150419946</v>
      </c>
      <c r="G41" s="223">
        <f t="shared" si="8"/>
        <v>3184110.7368161608</v>
      </c>
      <c r="H41" s="223">
        <f t="shared" si="8"/>
        <v>3895309.5802301401</v>
      </c>
      <c r="I41" s="223">
        <f t="shared" si="8"/>
        <v>4669668.0311434763</v>
      </c>
      <c r="J41" s="223">
        <f t="shared" si="8"/>
        <v>5506965.7957996251</v>
      </c>
      <c r="K41" s="223">
        <f t="shared" si="8"/>
        <v>6416319.1668435307</v>
      </c>
    </row>
    <row r="42" spans="2:11">
      <c r="B42" s="221" t="s">
        <v>176</v>
      </c>
      <c r="C42" s="222" t="s">
        <v>352</v>
      </c>
      <c r="D42" s="236"/>
      <c r="E42" s="223">
        <f>'5.Closing Stock &amp; W Capital'!E21</f>
        <v>2158193.8303569639</v>
      </c>
      <c r="F42" s="223">
        <f>'5.Closing Stock &amp; W Capital'!F21</f>
        <v>2832425.2334114155</v>
      </c>
      <c r="G42" s="223">
        <f>'5.Closing Stock &amp; W Capital'!G21</f>
        <v>3568855.7940983833</v>
      </c>
      <c r="H42" s="223">
        <f>'5.Closing Stock &amp; W Capital'!H21</f>
        <v>4371848.3477705196</v>
      </c>
      <c r="I42" s="223">
        <f>'5.Closing Stock &amp; W Capital'!I21</f>
        <v>5246218.0173246246</v>
      </c>
      <c r="J42" s="223">
        <f>'5.Closing Stock &amp; W Capital'!J21</f>
        <v>6197095.032964712</v>
      </c>
      <c r="K42" s="223">
        <f>'5.Closing Stock &amp; W Capital'!K21</f>
        <v>7229944.2051254986</v>
      </c>
    </row>
    <row r="43" spans="2:11">
      <c r="B43" s="221"/>
      <c r="C43" s="224"/>
      <c r="D43" s="236"/>
      <c r="E43" s="223"/>
      <c r="F43" s="223"/>
      <c r="G43" s="223"/>
      <c r="H43" s="223"/>
      <c r="I43" s="223"/>
      <c r="J43" s="223"/>
      <c r="K43" s="223"/>
    </row>
    <row r="44" spans="2:11">
      <c r="B44" s="440" t="s">
        <v>1</v>
      </c>
      <c r="C44" s="441"/>
      <c r="D44" s="248"/>
      <c r="E44" s="225">
        <f>SUM(E41:E42)</f>
        <v>4061243.6738262186</v>
      </c>
      <c r="F44" s="225">
        <f t="shared" ref="F44:K44" si="9">SUM(F41:F42)</f>
        <v>5364237.4484534096</v>
      </c>
      <c r="G44" s="225">
        <f t="shared" si="9"/>
        <v>6752966.5309145441</v>
      </c>
      <c r="H44" s="225">
        <f t="shared" si="9"/>
        <v>8267157.9280006597</v>
      </c>
      <c r="I44" s="225">
        <f t="shared" si="9"/>
        <v>9915886.0484681018</v>
      </c>
      <c r="J44" s="225">
        <f t="shared" si="9"/>
        <v>11704060.828764338</v>
      </c>
      <c r="K44" s="225">
        <f t="shared" si="9"/>
        <v>13646263.371969029</v>
      </c>
    </row>
    <row r="45" spans="2:11">
      <c r="B45" s="221"/>
      <c r="C45" s="222"/>
      <c r="D45" s="236"/>
      <c r="E45" s="223"/>
      <c r="F45" s="223"/>
      <c r="G45" s="223"/>
      <c r="H45" s="223"/>
      <c r="I45" s="223"/>
      <c r="J45" s="223"/>
      <c r="K45" s="223"/>
    </row>
    <row r="46" spans="2:11" ht="34.5" customHeight="1">
      <c r="B46" s="221" t="s">
        <v>177</v>
      </c>
      <c r="C46" s="224" t="s">
        <v>354</v>
      </c>
      <c r="D46" s="236"/>
      <c r="E46" s="223"/>
      <c r="F46" s="223"/>
      <c r="G46" s="223"/>
      <c r="H46" s="223"/>
      <c r="I46" s="223"/>
      <c r="J46" s="223"/>
      <c r="K46" s="223"/>
    </row>
    <row r="47" spans="2:11">
      <c r="B47" s="278">
        <v>1</v>
      </c>
      <c r="C47" s="224" t="str">
        <f t="shared" ref="C47:C52" si="10">C34</f>
        <v>Agri Input</v>
      </c>
      <c r="D47" s="236">
        <v>7</v>
      </c>
      <c r="E47" s="223">
        <f>('16.Facility 5 Agri Input'!D262/365)*$D$47</f>
        <v>0</v>
      </c>
      <c r="F47" s="223">
        <f>('16.Facility 5 Agri Input'!E262/365)*$D$47</f>
        <v>0</v>
      </c>
      <c r="G47" s="223">
        <f>('16.Facility 5 Agri Input'!F262/365)*$D$47</f>
        <v>0</v>
      </c>
      <c r="H47" s="223">
        <f>('16.Facility 5 Agri Input'!G262/365)*$D$47</f>
        <v>0</v>
      </c>
      <c r="I47" s="223">
        <f>('16.Facility 5 Agri Input'!H262/365)*$D$47</f>
        <v>0</v>
      </c>
      <c r="J47" s="223">
        <f>('16.Facility 5 Agri Input'!I262/365)*$D$47</f>
        <v>0</v>
      </c>
      <c r="K47" s="223">
        <f>('16.Facility 5 Agri Input'!J262/365)*$D$47</f>
        <v>0</v>
      </c>
    </row>
    <row r="48" spans="2:11">
      <c r="B48" s="278">
        <v>2</v>
      </c>
      <c r="C48" s="224" t="str">
        <f t="shared" si="10"/>
        <v>Custom Hiring</v>
      </c>
      <c r="D48" s="236">
        <v>7</v>
      </c>
      <c r="E48" s="223">
        <f>('15. Facility 4 Custom Hiring'!E49/365)*$D$49</f>
        <v>0</v>
      </c>
      <c r="F48" s="223">
        <f>('15. Facility 4 Custom Hiring'!F49/365)*$D$49</f>
        <v>0</v>
      </c>
      <c r="G48" s="223">
        <f>('15. Facility 4 Custom Hiring'!G49/365)*$D$49</f>
        <v>0</v>
      </c>
      <c r="H48" s="223">
        <f>('15. Facility 4 Custom Hiring'!H49/365)*$D$49</f>
        <v>0</v>
      </c>
      <c r="I48" s="223">
        <f>('15. Facility 4 Custom Hiring'!I49/365)*$D$49</f>
        <v>0</v>
      </c>
      <c r="J48" s="223">
        <f>('15. Facility 4 Custom Hiring'!J49/365)*$D$49</f>
        <v>0</v>
      </c>
      <c r="K48" s="223">
        <f>('15. Facility 4 Custom Hiring'!K49/365)*$D$49</f>
        <v>0</v>
      </c>
    </row>
    <row r="49" spans="1:12">
      <c r="B49" s="278">
        <v>3</v>
      </c>
      <c r="C49" s="224" t="str">
        <f t="shared" si="10"/>
        <v>Cleaning &amp; Grading</v>
      </c>
      <c r="D49" s="236">
        <v>7</v>
      </c>
      <c r="E49" s="223">
        <f>('12.Facility 1 - Trading'!D292/365)*$D$49</f>
        <v>390361.85676506971</v>
      </c>
      <c r="F49" s="223">
        <f>('12.Facility 1 - Trading'!E292/365)*$D$49</f>
        <v>532552.76313259522</v>
      </c>
      <c r="G49" s="223">
        <f>('12.Facility 1 - Trading'!F292/365)*$D$49</f>
        <v>672077.12991881301</v>
      </c>
      <c r="H49" s="223">
        <f>('12.Facility 1 - Trading'!G292/365)*$D$49</f>
        <v>824222.55147582118</v>
      </c>
      <c r="I49" s="223">
        <f>('12.Facility 1 - Trading'!H292/365)*$D$49</f>
        <v>989902.32236373343</v>
      </c>
      <c r="J49" s="223">
        <f>('12.Facility 1 - Trading'!I292/365)*$D$49</f>
        <v>1170089.5139617471</v>
      </c>
      <c r="K49" s="223">
        <f>('12.Facility 1 - Trading'!J292/365)*$D$49</f>
        <v>1365820.6689136531</v>
      </c>
    </row>
    <row r="50" spans="1:12">
      <c r="B50" s="278">
        <v>4</v>
      </c>
      <c r="C50" s="224" t="str">
        <f t="shared" si="10"/>
        <v>Dal Mill</v>
      </c>
      <c r="D50" s="236">
        <v>7</v>
      </c>
      <c r="E50" s="223">
        <f>('13.Facility 2 Grain Processing'!D182/365)*$D$50</f>
        <v>407244.68584749807</v>
      </c>
      <c r="F50" s="223">
        <f>('13.Facility 2 Grain Processing'!E182/365)*$D$50</f>
        <v>555229.89005204232</v>
      </c>
      <c r="G50" s="223">
        <f>('13.Facility 2 Grain Processing'!F182/365)*$D$50</f>
        <v>700698.07350514934</v>
      </c>
      <c r="H50" s="223">
        <f>('13.Facility 2 Grain Processing'!G182/365)*$D$50</f>
        <v>859328.2896560278</v>
      </c>
      <c r="I50" s="223">
        <f>('13.Facility 2 Grain Processing'!H182/365)*$D$50</f>
        <v>1032069.7822382315</v>
      </c>
      <c r="J50" s="223">
        <f>('13.Facility 2 Grain Processing'!I182/365)*$D$50</f>
        <v>1219937.1033545157</v>
      </c>
      <c r="K50" s="223">
        <f>('13.Facility 2 Grain Processing'!J182/365)*$D$50</f>
        <v>1424010.9821268327</v>
      </c>
    </row>
    <row r="51" spans="1:12">
      <c r="B51" s="278">
        <v>5</v>
      </c>
      <c r="C51" s="224" t="str">
        <f t="shared" si="10"/>
        <v>Warehouse</v>
      </c>
      <c r="D51" s="236">
        <v>7</v>
      </c>
      <c r="E51" s="223">
        <f>('14. Facility 3 Warehouse'!D34/365)*$D$51</f>
        <v>10172.054794520549</v>
      </c>
      <c r="F51" s="223">
        <f>('14. Facility 3 Warehouse'!E34/365)*$D$51</f>
        <v>10680.657534246577</v>
      </c>
      <c r="G51" s="223">
        <f>('14. Facility 3 Warehouse'!F34/365)*$D$51</f>
        <v>11214.690410958903</v>
      </c>
      <c r="H51" s="223">
        <f>('14. Facility 3 Warehouse'!G34/365)*$D$51</f>
        <v>11775.42493150685</v>
      </c>
      <c r="I51" s="223">
        <f>('14. Facility 3 Warehouse'!H34/365)*$D$51</f>
        <v>12364.196178082195</v>
      </c>
      <c r="J51" s="223">
        <f>('14. Facility 3 Warehouse'!I34/365)*$D$51</f>
        <v>12982.405986986305</v>
      </c>
      <c r="K51" s="223">
        <f>('14. Facility 3 Warehouse'!J34/365)*$D$51</f>
        <v>13631.526286335622</v>
      </c>
    </row>
    <row r="52" spans="1:12" ht="30">
      <c r="B52" s="278"/>
      <c r="C52" s="224" t="str">
        <f t="shared" si="10"/>
        <v>Processing Unit - Horti Commodity</v>
      </c>
      <c r="D52" s="236">
        <v>7</v>
      </c>
      <c r="E52" s="223">
        <f>('17.Facility 6 Horti Processing '!D177/365)*$D$52</f>
        <v>0</v>
      </c>
      <c r="F52" s="223">
        <f>('17.Facility 6 Horti Processing '!E177/365)*$D$52</f>
        <v>0</v>
      </c>
      <c r="G52" s="223">
        <f>('17.Facility 6 Horti Processing '!F177/365)*$D$52</f>
        <v>0</v>
      </c>
      <c r="H52" s="223">
        <f>('17.Facility 6 Horti Processing '!G177/365)*$D$52</f>
        <v>0</v>
      </c>
      <c r="I52" s="223">
        <f>('17.Facility 6 Horti Processing '!H177/365)*$D$52</f>
        <v>0</v>
      </c>
      <c r="J52" s="223">
        <f>('17.Facility 6 Horti Processing '!I177/365)*$D$52</f>
        <v>0</v>
      </c>
      <c r="K52" s="223">
        <f>('17.Facility 6 Horti Processing '!J177/365)*$D$52</f>
        <v>0</v>
      </c>
    </row>
    <row r="53" spans="1:12">
      <c r="B53" s="278"/>
      <c r="C53" s="224"/>
      <c r="D53" s="236"/>
      <c r="E53" s="223"/>
      <c r="F53" s="223"/>
      <c r="G53" s="223"/>
      <c r="H53" s="223"/>
      <c r="I53" s="223"/>
      <c r="J53" s="223"/>
      <c r="K53" s="223"/>
    </row>
    <row r="54" spans="1:12">
      <c r="B54" s="216"/>
      <c r="C54" s="222" t="s">
        <v>1</v>
      </c>
      <c r="D54" s="236"/>
      <c r="E54" s="225">
        <f>SUM(E47:E53)</f>
        <v>807778.59740708838</v>
      </c>
      <c r="F54" s="225">
        <f t="shared" ref="F54:K54" si="11">SUM(F47:F53)</f>
        <v>1098463.310718884</v>
      </c>
      <c r="G54" s="225">
        <f t="shared" si="11"/>
        <v>1383989.8938349213</v>
      </c>
      <c r="H54" s="225">
        <f t="shared" si="11"/>
        <v>1695326.2660633558</v>
      </c>
      <c r="I54" s="225">
        <f t="shared" si="11"/>
        <v>2034336.300780047</v>
      </c>
      <c r="J54" s="225">
        <f t="shared" si="11"/>
        <v>2403009.0233032489</v>
      </c>
      <c r="K54" s="225">
        <f t="shared" si="11"/>
        <v>2803463.1773268217</v>
      </c>
    </row>
    <row r="55" spans="1:12">
      <c r="B55" s="221" t="s">
        <v>178</v>
      </c>
      <c r="C55" s="222" t="s">
        <v>158</v>
      </c>
      <c r="D55" s="236"/>
      <c r="E55" s="225">
        <f>E44-E54</f>
        <v>3253465.07641913</v>
      </c>
      <c r="F55" s="225">
        <f t="shared" ref="F55:K55" si="12">F44-F54</f>
        <v>4265774.1377345258</v>
      </c>
      <c r="G55" s="225">
        <f t="shared" si="12"/>
        <v>5368976.6370796226</v>
      </c>
      <c r="H55" s="225">
        <f t="shared" si="12"/>
        <v>6571831.6619373038</v>
      </c>
      <c r="I55" s="225">
        <f t="shared" si="12"/>
        <v>7881549.747688055</v>
      </c>
      <c r="J55" s="225">
        <f t="shared" si="12"/>
        <v>9301051.8054610901</v>
      </c>
      <c r="K55" s="225">
        <f t="shared" si="12"/>
        <v>10842800.194642209</v>
      </c>
    </row>
    <row r="56" spans="1:12">
      <c r="B56" s="221"/>
      <c r="C56" s="222" t="s">
        <v>135</v>
      </c>
      <c r="D56" s="287">
        <v>0.25</v>
      </c>
      <c r="E56" s="225">
        <f>E55*$D$56</f>
        <v>813366.26910478249</v>
      </c>
      <c r="F56" s="225"/>
      <c r="G56" s="225"/>
      <c r="H56" s="225"/>
      <c r="I56" s="225"/>
      <c r="J56" s="225"/>
      <c r="K56" s="225"/>
    </row>
    <row r="58" spans="1:12">
      <c r="E58" s="29"/>
    </row>
    <row r="59" spans="1:12" ht="36.950000000000003" customHeight="1">
      <c r="A59" s="437" t="s">
        <v>423</v>
      </c>
      <c r="B59" s="438"/>
      <c r="C59" s="438"/>
      <c r="D59" s="438"/>
      <c r="E59" s="438"/>
      <c r="F59" s="438"/>
      <c r="G59" s="438"/>
      <c r="H59" s="438"/>
      <c r="I59" s="438"/>
      <c r="J59" s="438"/>
      <c r="K59" s="438"/>
      <c r="L59" s="438"/>
    </row>
    <row r="60" spans="1:12">
      <c r="A60" t="s">
        <v>550</v>
      </c>
    </row>
    <row r="61" spans="1:12">
      <c r="A61">
        <v>1</v>
      </c>
      <c r="B61" t="s">
        <v>551</v>
      </c>
    </row>
    <row r="62" spans="1:12">
      <c r="A62">
        <v>2</v>
      </c>
      <c r="B62" t="s">
        <v>552</v>
      </c>
    </row>
    <row r="63" spans="1:12">
      <c r="A63">
        <v>3</v>
      </c>
      <c r="B63" t="s">
        <v>553</v>
      </c>
    </row>
  </sheetData>
  <mergeCells count="13">
    <mergeCell ref="A59:L59"/>
    <mergeCell ref="B28:K28"/>
    <mergeCell ref="B30:B31"/>
    <mergeCell ref="C30:C31"/>
    <mergeCell ref="B44:C44"/>
    <mergeCell ref="D30:D31"/>
    <mergeCell ref="E30:K30"/>
    <mergeCell ref="N6:R6"/>
    <mergeCell ref="U5:V5"/>
    <mergeCell ref="U6:V6"/>
    <mergeCell ref="C2:K2"/>
    <mergeCell ref="A23:K23"/>
    <mergeCell ref="N5:R5"/>
  </mergeCells>
  <pageMargins left="0.7" right="0.7" top="0.75" bottom="0.75" header="0.3" footer="0.3"/>
  <pageSetup paperSize="9" scale="50" orientation="landscape" horizont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8"/>
  <sheetViews>
    <sheetView view="pageBreakPreview" zoomScale="80" zoomScaleSheetLayoutView="80" workbookViewId="0">
      <selection activeCell="H53" sqref="H53"/>
    </sheetView>
  </sheetViews>
  <sheetFormatPr defaultRowHeight="15"/>
  <cols>
    <col min="1" max="1" width="40.5703125" bestFit="1" customWidth="1"/>
    <col min="2" max="2" width="14" customWidth="1"/>
    <col min="3" max="3" width="14.42578125" customWidth="1"/>
    <col min="4" max="4" width="14.7109375" customWidth="1"/>
    <col min="5" max="5" width="15.7109375" customWidth="1"/>
    <col min="6" max="6" width="15.42578125" customWidth="1"/>
    <col min="7" max="8" width="16.28515625" customWidth="1"/>
    <col min="9" max="9" width="8.5703125" customWidth="1"/>
    <col min="10" max="10" width="10.140625" bestFit="1" customWidth="1"/>
    <col min="11" max="11" width="9.5703125" bestFit="1" customWidth="1"/>
  </cols>
  <sheetData>
    <row r="2" spans="1:8" ht="18.75">
      <c r="A2" s="415" t="s">
        <v>573</v>
      </c>
      <c r="B2" s="415"/>
      <c r="C2" s="415"/>
      <c r="D2" s="415"/>
      <c r="E2" s="415"/>
      <c r="F2" s="415"/>
      <c r="G2" s="415"/>
      <c r="H2" s="415"/>
    </row>
    <row r="4" spans="1:8">
      <c r="B4" s="4"/>
      <c r="C4" s="4"/>
      <c r="D4" s="4"/>
      <c r="E4" s="4"/>
      <c r="F4" s="4"/>
    </row>
    <row r="5" spans="1:8">
      <c r="A5" s="148" t="s">
        <v>0</v>
      </c>
      <c r="B5" s="120" t="s">
        <v>2</v>
      </c>
      <c r="C5" s="120" t="s">
        <v>3</v>
      </c>
      <c r="D5" s="120" t="s">
        <v>4</v>
      </c>
      <c r="E5" s="120" t="s">
        <v>5</v>
      </c>
      <c r="F5" s="120" t="s">
        <v>6</v>
      </c>
      <c r="G5" s="120" t="s">
        <v>171</v>
      </c>
      <c r="H5" s="120" t="s">
        <v>170</v>
      </c>
    </row>
    <row r="6" spans="1:8">
      <c r="A6" s="97" t="s">
        <v>127</v>
      </c>
      <c r="B6" s="95"/>
      <c r="C6" s="95"/>
      <c r="D6" s="95"/>
      <c r="E6" s="95"/>
      <c r="F6" s="95"/>
      <c r="G6" s="95"/>
      <c r="H6" s="95"/>
    </row>
    <row r="7" spans="1:8">
      <c r="A7" s="95"/>
      <c r="B7" s="95"/>
      <c r="C7" s="95"/>
      <c r="D7" s="95"/>
      <c r="E7" s="95"/>
      <c r="F7" s="95"/>
      <c r="G7" s="95"/>
      <c r="H7" s="95"/>
    </row>
    <row r="8" spans="1:8">
      <c r="A8" s="95" t="s">
        <v>707</v>
      </c>
      <c r="B8" s="96">
        <f>'12.Facility 1 - Trading'!D229</f>
        <v>20551157.706836998</v>
      </c>
      <c r="C8" s="96">
        <f>'12.Facility 1 - Trading'!E229</f>
        <v>28089782.57197272</v>
      </c>
      <c r="D8" s="96">
        <f>'12.Facility 1 - Trading'!F229</f>
        <v>35451736.414977446</v>
      </c>
      <c r="E8" s="96">
        <f>'12.Facility 1 - Trading'!G229</f>
        <v>43479661.185852736</v>
      </c>
      <c r="F8" s="96">
        <f>'12.Facility 1 - Trading'!H229</f>
        <v>52221749.092778094</v>
      </c>
      <c r="G8" s="96">
        <f>'12.Facility 1 - Trading'!I229</f>
        <v>61729346.637431368</v>
      </c>
      <c r="H8" s="96">
        <f>'12.Facility 1 - Trading'!J229</f>
        <v>72057149.563818023</v>
      </c>
    </row>
    <row r="9" spans="1:8">
      <c r="A9" s="95" t="s">
        <v>706</v>
      </c>
      <c r="B9" s="96">
        <f>'13.Facility 2 Grain Processing'!D155</f>
        <v>27703270.355039999</v>
      </c>
      <c r="C9" s="96">
        <f>'13.Facility 2 Grain Processing'!E155</f>
        <v>36387278.748764999</v>
      </c>
      <c r="D9" s="96">
        <f>'13.Facility 2 Grain Processing'!F155</f>
        <v>45847971.223443896</v>
      </c>
      <c r="E9" s="96">
        <f>'13.Facility 2 Grain Processing'!G155</f>
        <v>56163764.748718776</v>
      </c>
      <c r="F9" s="96">
        <f>'13.Facility 2 Grain Processing'!H155</f>
        <v>67396517.698462546</v>
      </c>
      <c r="G9" s="96">
        <f>'13.Facility 2 Grain Processing'!I155</f>
        <v>79612136.531308874</v>
      </c>
      <c r="H9" s="96">
        <f>'13.Facility 2 Grain Processing'!J155</f>
        <v>92880825.953193694</v>
      </c>
    </row>
    <row r="10" spans="1:8">
      <c r="A10" s="95" t="s">
        <v>518</v>
      </c>
      <c r="B10" s="96">
        <f>'14. Facility 3 Warehouse'!D23</f>
        <v>1360800</v>
      </c>
      <c r="C10" s="96">
        <f>'14. Facility 3 Warehouse'!E23</f>
        <v>1530900</v>
      </c>
      <c r="D10" s="96">
        <f>'14. Facility 3 Warehouse'!F23</f>
        <v>1714608</v>
      </c>
      <c r="E10" s="96">
        <f>'14. Facility 3 Warehouse'!G23</f>
        <v>1912859.5500000005</v>
      </c>
      <c r="F10" s="96">
        <f>'14. Facility 3 Warehouse'!H23</f>
        <v>2126649.7350000008</v>
      </c>
      <c r="G10" s="96">
        <f>'14. Facility 3 Warehouse'!I23</f>
        <v>2232982.221750001</v>
      </c>
      <c r="H10" s="96">
        <f>'14. Facility 3 Warehouse'!J23</f>
        <v>2344631.3328375011</v>
      </c>
    </row>
    <row r="11" spans="1:8">
      <c r="A11" s="95" t="s">
        <v>519</v>
      </c>
      <c r="B11" s="96">
        <f>'15. Facility 4 Custom Hiring'!E39</f>
        <v>0</v>
      </c>
      <c r="C11" s="96">
        <f>'15. Facility 4 Custom Hiring'!F39</f>
        <v>0</v>
      </c>
      <c r="D11" s="96">
        <f>'15. Facility 4 Custom Hiring'!G39</f>
        <v>0</v>
      </c>
      <c r="E11" s="96">
        <f>'15. Facility 4 Custom Hiring'!H39</f>
        <v>0</v>
      </c>
      <c r="F11" s="96">
        <f>'15. Facility 4 Custom Hiring'!I39</f>
        <v>0</v>
      </c>
      <c r="G11" s="96">
        <f>'15. Facility 4 Custom Hiring'!J39</f>
        <v>0</v>
      </c>
      <c r="H11" s="96">
        <f>'15. Facility 4 Custom Hiring'!K39</f>
        <v>0</v>
      </c>
    </row>
    <row r="12" spans="1:8">
      <c r="A12" s="95" t="s">
        <v>517</v>
      </c>
      <c r="B12" s="96">
        <f>'16.Facility 5 Agri Input'!D191</f>
        <v>0</v>
      </c>
      <c r="C12" s="96">
        <f>'16.Facility 5 Agri Input'!E191</f>
        <v>0</v>
      </c>
      <c r="D12" s="96">
        <f>'16.Facility 5 Agri Input'!F191</f>
        <v>0</v>
      </c>
      <c r="E12" s="96">
        <f>'16.Facility 5 Agri Input'!G191</f>
        <v>0</v>
      </c>
      <c r="F12" s="96">
        <f>'16.Facility 5 Agri Input'!H191</f>
        <v>0</v>
      </c>
      <c r="G12" s="96">
        <f>'16.Facility 5 Agri Input'!I191</f>
        <v>0</v>
      </c>
      <c r="H12" s="96">
        <f>'16.Facility 5 Agri Input'!J191</f>
        <v>0</v>
      </c>
    </row>
    <row r="13" spans="1:8">
      <c r="A13" s="95" t="s">
        <v>540</v>
      </c>
      <c r="B13" s="96">
        <f>'17.Facility 6 Horti Processing '!D159</f>
        <v>0</v>
      </c>
      <c r="C13" s="96">
        <f>'17.Facility 6 Horti Processing '!E159</f>
        <v>0</v>
      </c>
      <c r="D13" s="96">
        <f>'17.Facility 6 Horti Processing '!F159</f>
        <v>0</v>
      </c>
      <c r="E13" s="96">
        <f>'17.Facility 6 Horti Processing '!G159</f>
        <v>0</v>
      </c>
      <c r="F13" s="96">
        <f>'17.Facility 6 Horti Processing '!H159</f>
        <v>0</v>
      </c>
      <c r="G13" s="96">
        <f>'17.Facility 6 Horti Processing '!I159</f>
        <v>0</v>
      </c>
      <c r="H13" s="96">
        <f>'17.Facility 6 Horti Processing '!J159</f>
        <v>0</v>
      </c>
    </row>
    <row r="14" spans="1:8">
      <c r="A14" s="95"/>
      <c r="B14" s="96"/>
      <c r="C14" s="96"/>
      <c r="D14" s="96"/>
      <c r="E14" s="96"/>
      <c r="F14" s="96"/>
      <c r="G14" s="96"/>
      <c r="H14" s="96"/>
    </row>
    <row r="15" spans="1:8">
      <c r="A15" s="97" t="s">
        <v>144</v>
      </c>
      <c r="B15" s="115">
        <f>SUM(B8:B14)</f>
        <v>49615228.061876997</v>
      </c>
      <c r="C15" s="115">
        <f t="shared" ref="C15:H15" si="0">SUM(C8:C14)</f>
        <v>66007961.32073772</v>
      </c>
      <c r="D15" s="115">
        <f t="shared" si="0"/>
        <v>83014315.638421342</v>
      </c>
      <c r="E15" s="115">
        <f t="shared" si="0"/>
        <v>101556285.4845715</v>
      </c>
      <c r="F15" s="115">
        <f t="shared" si="0"/>
        <v>121744916.52624063</v>
      </c>
      <c r="G15" s="115">
        <f t="shared" si="0"/>
        <v>143574465.39049023</v>
      </c>
      <c r="H15" s="115">
        <f t="shared" si="0"/>
        <v>167282606.84984919</v>
      </c>
    </row>
    <row r="16" spans="1:8">
      <c r="A16" s="95"/>
      <c r="B16" s="96"/>
      <c r="C16" s="96"/>
      <c r="D16" s="96"/>
      <c r="E16" s="96"/>
      <c r="F16" s="96"/>
      <c r="G16" s="96"/>
      <c r="H16" s="96"/>
    </row>
    <row r="17" spans="1:8">
      <c r="A17" s="97" t="s">
        <v>316</v>
      </c>
      <c r="B17" s="96"/>
      <c r="C17" s="96"/>
      <c r="D17" s="96"/>
      <c r="E17" s="96"/>
      <c r="F17" s="96"/>
      <c r="G17" s="96"/>
      <c r="H17" s="96"/>
    </row>
    <row r="18" spans="1:8">
      <c r="A18" s="95" t="str">
        <f t="shared" ref="A18:A23" si="1">A8</f>
        <v>Faclitiy 1 - Trading</v>
      </c>
      <c r="B18" s="96">
        <f>'12.Facility 1 - Trading'!D292</f>
        <v>20354582.531321492</v>
      </c>
      <c r="C18" s="96">
        <f>'12.Facility 1 - Trading'!E292</f>
        <v>27768822.649056748</v>
      </c>
      <c r="D18" s="96">
        <f>'12.Facility 1 - Trading'!F292</f>
        <v>35044021.774338104</v>
      </c>
      <c r="E18" s="96">
        <f>'12.Facility 1 - Trading'!G292</f>
        <v>42977318.755524963</v>
      </c>
      <c r="F18" s="96">
        <f>'12.Facility 1 - Trading'!H292</f>
        <v>51616335.380394667</v>
      </c>
      <c r="G18" s="96">
        <f>'12.Facility 1 - Trading'!I292</f>
        <v>61011810.370862521</v>
      </c>
      <c r="H18" s="96">
        <f>'12.Facility 1 - Trading'!J292</f>
        <v>71217792.021926194</v>
      </c>
    </row>
    <row r="19" spans="1:8">
      <c r="A19" s="95" t="str">
        <f t="shared" si="1"/>
        <v>Faclitiy 2 - Processing Unit- Cleaning Grading</v>
      </c>
      <c r="B19" s="96">
        <f>'13.Facility 2 Grain Processing'!D182</f>
        <v>21234901.476333827</v>
      </c>
      <c r="C19" s="96">
        <f>'13.Facility 2 Grain Processing'!E182</f>
        <v>28951272.83842792</v>
      </c>
      <c r="D19" s="96">
        <f>'13.Facility 2 Grain Processing'!F182</f>
        <v>36536399.547054216</v>
      </c>
      <c r="E19" s="96">
        <f>'13.Facility 2 Grain Processing'!G182</f>
        <v>44807832.24635002</v>
      </c>
      <c r="F19" s="96">
        <f>'13.Facility 2 Grain Processing'!H182</f>
        <v>53815067.216707781</v>
      </c>
      <c r="G19" s="96">
        <f>'13.Facility 2 Grain Processing'!I182</f>
        <v>63611006.103485465</v>
      </c>
      <c r="H19" s="96">
        <f>'13.Facility 2 Grain Processing'!J182</f>
        <v>74252001.21089913</v>
      </c>
    </row>
    <row r="20" spans="1:8">
      <c r="A20" s="95" t="str">
        <f t="shared" si="1"/>
        <v>Faclitiy 3 - Warehouse</v>
      </c>
      <c r="B20" s="96">
        <f>'14. Facility 3 Warehouse'!D34</f>
        <v>530400</v>
      </c>
      <c r="C20" s="96">
        <f>'14. Facility 3 Warehouse'!E34</f>
        <v>556920</v>
      </c>
      <c r="D20" s="96">
        <f>'14. Facility 3 Warehouse'!F34</f>
        <v>584766</v>
      </c>
      <c r="E20" s="96">
        <f>'14. Facility 3 Warehouse'!G34</f>
        <v>614004.30000000005</v>
      </c>
      <c r="F20" s="96">
        <f>'14. Facility 3 Warehouse'!H34</f>
        <v>644704.51500000013</v>
      </c>
      <c r="G20" s="96">
        <f>'14. Facility 3 Warehouse'!I34</f>
        <v>676939.74075000011</v>
      </c>
      <c r="H20" s="96">
        <f>'14. Facility 3 Warehouse'!J34</f>
        <v>710786.72778750025</v>
      </c>
    </row>
    <row r="21" spans="1:8">
      <c r="A21" s="95" t="str">
        <f t="shared" si="1"/>
        <v xml:space="preserve">Faclitiy 4 - Custom Hiring </v>
      </c>
      <c r="B21" s="96">
        <f>'15. Facility 4 Custom Hiring'!E49</f>
        <v>0</v>
      </c>
      <c r="C21" s="96">
        <f>'15. Facility 4 Custom Hiring'!F49</f>
        <v>0</v>
      </c>
      <c r="D21" s="96">
        <f>'15. Facility 4 Custom Hiring'!G49</f>
        <v>0</v>
      </c>
      <c r="E21" s="96">
        <f>'15. Facility 4 Custom Hiring'!H49</f>
        <v>0</v>
      </c>
      <c r="F21" s="96">
        <f>'15. Facility 4 Custom Hiring'!I49</f>
        <v>0</v>
      </c>
      <c r="G21" s="96">
        <f>'15. Facility 4 Custom Hiring'!J49</f>
        <v>0</v>
      </c>
      <c r="H21" s="96">
        <f>'15. Facility 4 Custom Hiring'!K49</f>
        <v>0</v>
      </c>
    </row>
    <row r="22" spans="1:8">
      <c r="A22" s="95" t="str">
        <f t="shared" si="1"/>
        <v>Faclitiy 5 - Agri Input Centre</v>
      </c>
      <c r="B22" s="96">
        <f>'16.Facility 5 Agri Input'!D262</f>
        <v>0</v>
      </c>
      <c r="C22" s="96">
        <f>'16.Facility 5 Agri Input'!E262</f>
        <v>0</v>
      </c>
      <c r="D22" s="96">
        <f>'16.Facility 5 Agri Input'!F262</f>
        <v>0</v>
      </c>
      <c r="E22" s="96">
        <f>'16.Facility 5 Agri Input'!G262</f>
        <v>0</v>
      </c>
      <c r="F22" s="96">
        <f>'16.Facility 5 Agri Input'!H262</f>
        <v>0</v>
      </c>
      <c r="G22" s="96">
        <f>'16.Facility 5 Agri Input'!I262</f>
        <v>0</v>
      </c>
      <c r="H22" s="96">
        <f>'16.Facility 5 Agri Input'!J262</f>
        <v>0</v>
      </c>
    </row>
    <row r="23" spans="1:8">
      <c r="A23" s="95" t="str">
        <f t="shared" si="1"/>
        <v>Facility 6 - Processing Unit - Horti Commodity</v>
      </c>
      <c r="B23" s="96">
        <f>'17.Facility 6 Horti Processing '!D177</f>
        <v>0</v>
      </c>
      <c r="C23" s="96">
        <f>'17.Facility 6 Horti Processing '!E177</f>
        <v>0</v>
      </c>
      <c r="D23" s="96">
        <f>'17.Facility 6 Horti Processing '!F177</f>
        <v>0</v>
      </c>
      <c r="E23" s="96">
        <f>'17.Facility 6 Horti Processing '!G177</f>
        <v>0</v>
      </c>
      <c r="F23" s="96">
        <f>'17.Facility 6 Horti Processing '!H177</f>
        <v>0</v>
      </c>
      <c r="G23" s="96">
        <f>'17.Facility 6 Horti Processing '!I177</f>
        <v>0</v>
      </c>
      <c r="H23" s="96">
        <f>'17.Facility 6 Horti Processing '!J177</f>
        <v>0</v>
      </c>
    </row>
    <row r="24" spans="1:8">
      <c r="A24" s="95"/>
      <c r="B24" s="96"/>
      <c r="C24" s="96"/>
      <c r="D24" s="96"/>
      <c r="E24" s="96"/>
      <c r="F24" s="96"/>
      <c r="G24" s="96"/>
      <c r="H24" s="96"/>
    </row>
    <row r="25" spans="1:8">
      <c r="A25" s="97" t="s">
        <v>326</v>
      </c>
      <c r="B25" s="115">
        <f>SUM(B18:B24)</f>
        <v>42119884.007655323</v>
      </c>
      <c r="C25" s="115">
        <f t="shared" ref="C25:H25" si="2">SUM(C18:C24)</f>
        <v>57277015.487484664</v>
      </c>
      <c r="D25" s="115">
        <f t="shared" si="2"/>
        <v>72165187.321392328</v>
      </c>
      <c r="E25" s="115">
        <f t="shared" si="2"/>
        <v>88399155.30187498</v>
      </c>
      <c r="F25" s="115">
        <f t="shared" si="2"/>
        <v>106076107.11210245</v>
      </c>
      <c r="G25" s="115">
        <f t="shared" si="2"/>
        <v>125299756.21509798</v>
      </c>
      <c r="H25" s="115">
        <f t="shared" si="2"/>
        <v>146180579.96061283</v>
      </c>
    </row>
    <row r="26" spans="1:8">
      <c r="A26" s="95"/>
      <c r="B26" s="96"/>
      <c r="C26" s="96"/>
      <c r="D26" s="96"/>
      <c r="E26" s="96"/>
      <c r="F26" s="96"/>
      <c r="G26" s="96"/>
      <c r="H26" s="96"/>
    </row>
    <row r="27" spans="1:8">
      <c r="A27" s="97" t="s">
        <v>314</v>
      </c>
      <c r="B27" s="96"/>
      <c r="C27" s="96"/>
      <c r="D27" s="96"/>
      <c r="E27" s="96"/>
      <c r="F27" s="96"/>
      <c r="G27" s="96"/>
      <c r="H27" s="96"/>
    </row>
    <row r="28" spans="1:8">
      <c r="A28" s="95" t="str">
        <f t="shared" ref="A28:A33" si="3">A18</f>
        <v>Faclitiy 1 - Trading</v>
      </c>
      <c r="B28" s="96">
        <f>'12.Facility 1 - Trading'!D301</f>
        <v>120000</v>
      </c>
      <c r="C28" s="96">
        <f>'12.Facility 1 - Trading'!E301</f>
        <v>126000</v>
      </c>
      <c r="D28" s="96">
        <f>'12.Facility 1 - Trading'!F301</f>
        <v>132300</v>
      </c>
      <c r="E28" s="96">
        <f>'12.Facility 1 - Trading'!G301</f>
        <v>138915.00000000003</v>
      </c>
      <c r="F28" s="96">
        <f>'12.Facility 1 - Trading'!H301</f>
        <v>145860.75000000003</v>
      </c>
      <c r="G28" s="96">
        <f>'12.Facility 1 - Trading'!I301</f>
        <v>153153.78750000003</v>
      </c>
      <c r="H28" s="96">
        <f>'12.Facility 1 - Trading'!J301</f>
        <v>160811.47687500005</v>
      </c>
    </row>
    <row r="29" spans="1:8">
      <c r="A29" s="95" t="str">
        <f t="shared" si="3"/>
        <v>Faclitiy 2 - Processing Unit- Cleaning Grading</v>
      </c>
      <c r="B29" s="96">
        <f>'13.Facility 2 Grain Processing'!D190</f>
        <v>240000</v>
      </c>
      <c r="C29" s="96">
        <f>'13.Facility 2 Grain Processing'!E190</f>
        <v>252000</v>
      </c>
      <c r="D29" s="96">
        <f>'13.Facility 2 Grain Processing'!F190</f>
        <v>264600</v>
      </c>
      <c r="E29" s="96">
        <f>'13.Facility 2 Grain Processing'!G190</f>
        <v>277830.00000000006</v>
      </c>
      <c r="F29" s="96">
        <f>'13.Facility 2 Grain Processing'!H190</f>
        <v>291721.50000000006</v>
      </c>
      <c r="G29" s="96">
        <f>'13.Facility 2 Grain Processing'!I190</f>
        <v>306307.57500000007</v>
      </c>
      <c r="H29" s="96">
        <f>'13.Facility 2 Grain Processing'!J190</f>
        <v>321622.9537500001</v>
      </c>
    </row>
    <row r="30" spans="1:8">
      <c r="A30" s="95" t="str">
        <f t="shared" si="3"/>
        <v>Faclitiy 3 - Warehouse</v>
      </c>
      <c r="B30" s="96">
        <f>'14. Facility 3 Warehouse'!D43</f>
        <v>300000</v>
      </c>
      <c r="C30" s="96">
        <f>'14. Facility 3 Warehouse'!E43</f>
        <v>315000</v>
      </c>
      <c r="D30" s="96">
        <f>'14. Facility 3 Warehouse'!F43</f>
        <v>330750</v>
      </c>
      <c r="E30" s="96">
        <f>'14. Facility 3 Warehouse'!G43</f>
        <v>347287.50000000006</v>
      </c>
      <c r="F30" s="96">
        <f>'14. Facility 3 Warehouse'!H43</f>
        <v>364651.87500000012</v>
      </c>
      <c r="G30" s="96">
        <f>'14. Facility 3 Warehouse'!I43</f>
        <v>382884.46875000012</v>
      </c>
      <c r="H30" s="96">
        <f>'14. Facility 3 Warehouse'!J43</f>
        <v>402028.69218750019</v>
      </c>
    </row>
    <row r="31" spans="1:8">
      <c r="A31" s="95" t="str">
        <f t="shared" si="3"/>
        <v xml:space="preserve">Faclitiy 4 - Custom Hiring </v>
      </c>
      <c r="B31" s="96">
        <f>'15. Facility 4 Custom Hiring'!E56</f>
        <v>0</v>
      </c>
      <c r="C31" s="96">
        <f>'15. Facility 4 Custom Hiring'!F56</f>
        <v>0</v>
      </c>
      <c r="D31" s="96">
        <f>'15. Facility 4 Custom Hiring'!G56</f>
        <v>0</v>
      </c>
      <c r="E31" s="96">
        <f>'15. Facility 4 Custom Hiring'!H56</f>
        <v>0</v>
      </c>
      <c r="F31" s="96">
        <f>'15. Facility 4 Custom Hiring'!I56</f>
        <v>0</v>
      </c>
      <c r="G31" s="96">
        <f>'15. Facility 4 Custom Hiring'!J56</f>
        <v>0</v>
      </c>
      <c r="H31" s="96">
        <f>'15. Facility 4 Custom Hiring'!K56</f>
        <v>0</v>
      </c>
    </row>
    <row r="32" spans="1:8">
      <c r="A32" s="95" t="str">
        <f t="shared" si="3"/>
        <v>Faclitiy 5 - Agri Input Centre</v>
      </c>
      <c r="B32" s="96">
        <f>'16.Facility 5 Agri Input'!D273</f>
        <v>0</v>
      </c>
      <c r="C32" s="96">
        <f>'16.Facility 5 Agri Input'!E273</f>
        <v>0</v>
      </c>
      <c r="D32" s="96">
        <f>'16.Facility 5 Agri Input'!F273</f>
        <v>0</v>
      </c>
      <c r="E32" s="96">
        <f>'16.Facility 5 Agri Input'!G273</f>
        <v>0</v>
      </c>
      <c r="F32" s="96">
        <f>'16.Facility 5 Agri Input'!H273</f>
        <v>0</v>
      </c>
      <c r="G32" s="96">
        <f>'16.Facility 5 Agri Input'!I273</f>
        <v>0</v>
      </c>
      <c r="H32" s="96">
        <f>'16.Facility 5 Agri Input'!J273</f>
        <v>0</v>
      </c>
    </row>
    <row r="33" spans="1:10">
      <c r="A33" s="95" t="str">
        <f t="shared" si="3"/>
        <v>Facility 6 - Processing Unit - Horti Commodity</v>
      </c>
      <c r="B33" s="96">
        <f>'17.Facility 6 Horti Processing '!D185</f>
        <v>0</v>
      </c>
      <c r="C33" s="96">
        <f>'17.Facility 6 Horti Processing '!E185</f>
        <v>0</v>
      </c>
      <c r="D33" s="96">
        <f>'17.Facility 6 Horti Processing '!F185</f>
        <v>0</v>
      </c>
      <c r="E33" s="96">
        <f>'17.Facility 6 Horti Processing '!G185</f>
        <v>0</v>
      </c>
      <c r="F33" s="96">
        <f>'17.Facility 6 Horti Processing '!H185</f>
        <v>0</v>
      </c>
      <c r="G33" s="96">
        <f>'17.Facility 6 Horti Processing '!I185</f>
        <v>0</v>
      </c>
      <c r="H33" s="96">
        <f>'17.Facility 6 Horti Processing '!J185</f>
        <v>0</v>
      </c>
    </row>
    <row r="34" spans="1:10">
      <c r="A34" s="95"/>
      <c r="B34" s="96"/>
      <c r="C34" s="96"/>
      <c r="D34" s="96"/>
      <c r="E34" s="96"/>
      <c r="F34" s="96"/>
      <c r="G34" s="96"/>
      <c r="H34" s="96"/>
    </row>
    <row r="35" spans="1:10">
      <c r="A35" s="95" t="s">
        <v>9</v>
      </c>
      <c r="B35" s="96">
        <f>'3.Other Exp &amp; Taxes'!E24</f>
        <v>2813200</v>
      </c>
      <c r="C35" s="96">
        <f>'3.Other Exp &amp; Taxes'!F24</f>
        <v>2953860</v>
      </c>
      <c r="D35" s="96">
        <f>'3.Other Exp &amp; Taxes'!G24</f>
        <v>3101553</v>
      </c>
      <c r="E35" s="96">
        <f>'3.Other Exp &amp; Taxes'!H24</f>
        <v>3256630.6500000004</v>
      </c>
      <c r="F35" s="96">
        <f>'3.Other Exp &amp; Taxes'!I24</f>
        <v>3419462.1825000001</v>
      </c>
      <c r="G35" s="96">
        <f>'3.Other Exp &amp; Taxes'!J24</f>
        <v>3590435.2916250001</v>
      </c>
      <c r="H35" s="96">
        <f>'3.Other Exp &amp; Taxes'!K24</f>
        <v>3769957.0562062515</v>
      </c>
    </row>
    <row r="36" spans="1:10">
      <c r="A36" s="97" t="s">
        <v>330</v>
      </c>
      <c r="B36" s="115">
        <f t="shared" ref="B36:H36" si="4">SUM(B28:B35)</f>
        <v>3473200</v>
      </c>
      <c r="C36" s="115">
        <f t="shared" si="4"/>
        <v>3646860</v>
      </c>
      <c r="D36" s="115">
        <f t="shared" si="4"/>
        <v>3829203</v>
      </c>
      <c r="E36" s="115">
        <f t="shared" si="4"/>
        <v>4020663.1500000004</v>
      </c>
      <c r="F36" s="115">
        <f t="shared" si="4"/>
        <v>4221696.3075000001</v>
      </c>
      <c r="G36" s="115">
        <f t="shared" si="4"/>
        <v>4432781.1228750004</v>
      </c>
      <c r="H36" s="115">
        <f t="shared" si="4"/>
        <v>4654420.1790187517</v>
      </c>
    </row>
    <row r="37" spans="1:10">
      <c r="A37" s="95"/>
      <c r="B37" s="96"/>
      <c r="C37" s="96"/>
      <c r="D37" s="96"/>
      <c r="E37" s="96"/>
      <c r="F37" s="96"/>
      <c r="G37" s="96"/>
      <c r="H37" s="96"/>
    </row>
    <row r="38" spans="1:10">
      <c r="A38" s="97" t="s">
        <v>335</v>
      </c>
      <c r="B38" s="115">
        <f t="shared" ref="B38:H38" si="5">B25+B36</f>
        <v>45593084.007655323</v>
      </c>
      <c r="C38" s="115">
        <f t="shared" si="5"/>
        <v>60923875.487484664</v>
      </c>
      <c r="D38" s="115">
        <f t="shared" si="5"/>
        <v>75994390.321392328</v>
      </c>
      <c r="E38" s="115">
        <f t="shared" si="5"/>
        <v>92419818.451874986</v>
      </c>
      <c r="F38" s="115">
        <f t="shared" si="5"/>
        <v>110297803.41960245</v>
      </c>
      <c r="G38" s="115">
        <f t="shared" si="5"/>
        <v>129732537.33797298</v>
      </c>
      <c r="H38" s="115">
        <f t="shared" si="5"/>
        <v>150835000.1396316</v>
      </c>
    </row>
    <row r="39" spans="1:10">
      <c r="A39" s="95"/>
      <c r="B39" s="96"/>
      <c r="C39" s="96"/>
      <c r="D39" s="96"/>
      <c r="E39" s="96"/>
      <c r="F39" s="96"/>
      <c r="G39" s="96"/>
      <c r="H39" s="96"/>
    </row>
    <row r="40" spans="1:10">
      <c r="A40" s="97" t="s">
        <v>137</v>
      </c>
      <c r="B40" s="115">
        <f t="shared" ref="B40:H40" si="6">B15-B38</f>
        <v>4022144.0542216748</v>
      </c>
      <c r="C40" s="115">
        <f t="shared" si="6"/>
        <v>5084085.8332530558</v>
      </c>
      <c r="D40" s="115">
        <f t="shared" si="6"/>
        <v>7019925.3170290142</v>
      </c>
      <c r="E40" s="115">
        <f t="shared" si="6"/>
        <v>9136467.0326965153</v>
      </c>
      <c r="F40" s="115">
        <f t="shared" si="6"/>
        <v>11447113.106638178</v>
      </c>
      <c r="G40" s="115">
        <f t="shared" si="6"/>
        <v>13841928.05251725</v>
      </c>
      <c r="H40" s="115">
        <f t="shared" si="6"/>
        <v>16447606.710217595</v>
      </c>
      <c r="J40" s="67">
        <f>B49+B42+B43</f>
        <v>2673341.9087881949</v>
      </c>
    </row>
    <row r="41" spans="1:10">
      <c r="A41" s="95"/>
      <c r="B41" s="96"/>
      <c r="C41" s="96"/>
      <c r="D41" s="96"/>
      <c r="E41" s="96"/>
      <c r="F41" s="96"/>
      <c r="G41" s="96"/>
      <c r="H41" s="96"/>
      <c r="J41">
        <f>'5.Closing Stock &amp; W Capital'!E56</f>
        <v>813366.26910478249</v>
      </c>
    </row>
    <row r="42" spans="1:10">
      <c r="A42" s="99" t="s">
        <v>17</v>
      </c>
      <c r="B42" s="96">
        <f>'3.Other Exp &amp; Taxes'!C67</f>
        <v>956902.46809999994</v>
      </c>
      <c r="C42" s="96">
        <f>'3.Other Exp &amp; Taxes'!D67</f>
        <v>956902.46809999994</v>
      </c>
      <c r="D42" s="96">
        <f>'3.Other Exp &amp; Taxes'!E67</f>
        <v>956902.46809999994</v>
      </c>
      <c r="E42" s="96">
        <f>'3.Other Exp &amp; Taxes'!F67</f>
        <v>956902.46809999994</v>
      </c>
      <c r="F42" s="96">
        <f>'3.Other Exp &amp; Taxes'!G67</f>
        <v>956902.46809999994</v>
      </c>
      <c r="G42" s="96">
        <f>'3.Other Exp &amp; Taxes'!H67</f>
        <v>956902.46809999994</v>
      </c>
      <c r="H42" s="96">
        <f>'3.Other Exp &amp; Taxes'!I67</f>
        <v>956902.46809999994</v>
      </c>
      <c r="J42" s="67">
        <f>J40+J41</f>
        <v>3486708.1778929774</v>
      </c>
    </row>
    <row r="43" spans="1:10">
      <c r="A43" s="99" t="s">
        <v>138</v>
      </c>
      <c r="B43" s="96">
        <f>'3.Other Exp &amp; Taxes'!C87</f>
        <v>265000</v>
      </c>
      <c r="C43" s="96">
        <f>'3.Other Exp &amp; Taxes'!D87</f>
        <v>265000</v>
      </c>
      <c r="D43" s="96">
        <f>'3.Other Exp &amp; Taxes'!E87</f>
        <v>265000</v>
      </c>
      <c r="E43" s="96">
        <f>'3.Other Exp &amp; Taxes'!F87</f>
        <v>265000</v>
      </c>
      <c r="F43" s="96">
        <f>'3.Other Exp &amp; Taxes'!G87</f>
        <v>265000</v>
      </c>
      <c r="G43" s="96">
        <f>'3.Other Exp &amp; Taxes'!H87</f>
        <v>0</v>
      </c>
      <c r="H43" s="96">
        <f>'3.Other Exp &amp; Taxes'!I87</f>
        <v>0</v>
      </c>
    </row>
    <row r="44" spans="1:10">
      <c r="A44" s="95"/>
      <c r="B44" s="96"/>
      <c r="C44" s="96"/>
      <c r="D44" s="96"/>
      <c r="E44" s="96"/>
      <c r="F44" s="96"/>
      <c r="G44" s="96"/>
      <c r="H44" s="96"/>
    </row>
    <row r="45" spans="1:10">
      <c r="A45" s="97" t="s">
        <v>139</v>
      </c>
      <c r="B45" s="115">
        <f>B40-B42-B43</f>
        <v>2800241.5861216746</v>
      </c>
      <c r="C45" s="115">
        <f t="shared" ref="C45:H45" si="7">C40-C42-C43</f>
        <v>3862183.3651530556</v>
      </c>
      <c r="D45" s="115">
        <f t="shared" si="7"/>
        <v>5798022.8489290141</v>
      </c>
      <c r="E45" s="115">
        <f t="shared" si="7"/>
        <v>7914564.5645965151</v>
      </c>
      <c r="F45" s="115">
        <f t="shared" si="7"/>
        <v>10225210.638538178</v>
      </c>
      <c r="G45" s="115">
        <f t="shared" si="7"/>
        <v>12885025.58441725</v>
      </c>
      <c r="H45" s="115">
        <f t="shared" si="7"/>
        <v>15490704.242117595</v>
      </c>
    </row>
    <row r="46" spans="1:10">
      <c r="A46" s="95"/>
      <c r="B46" s="96"/>
      <c r="C46" s="96"/>
      <c r="D46" s="96"/>
      <c r="E46" s="96"/>
      <c r="F46" s="96"/>
      <c r="G46" s="96"/>
      <c r="H46" s="96"/>
    </row>
    <row r="47" spans="1:10">
      <c r="A47" s="95" t="s">
        <v>24</v>
      </c>
      <c r="B47" s="96">
        <f>'8.Cash Flow '!C26+'8.Cash Flow '!C28</f>
        <v>1348802.1454334795</v>
      </c>
      <c r="C47" s="96">
        <f>'8.Cash Flow '!D26+'8.Cash Flow '!D28</f>
        <v>1408984.8533422858</v>
      </c>
      <c r="D47" s="96">
        <f>'8.Cash Flow '!E26+'8.Cash Flow '!E28</f>
        <v>1330668.8291387539</v>
      </c>
      <c r="E47" s="96">
        <f>'8.Cash Flow '!F26+'8.Cash Flow '!F28</f>
        <v>1232844.6940373073</v>
      </c>
      <c r="F47" s="96">
        <f>'8.Cash Flow '!G26+'8.Cash Flow '!G28</f>
        <v>1111678.4541710315</v>
      </c>
      <c r="G47" s="96">
        <f>'8.Cash Flow '!H26+'8.Cash Flow '!H28</f>
        <v>962119.56402055942</v>
      </c>
      <c r="H47" s="96">
        <f>'8.Cash Flow '!I26+'8.Cash Flow '!I28</f>
        <v>779455.847365428</v>
      </c>
    </row>
    <row r="48" spans="1:10">
      <c r="A48" s="95"/>
      <c r="B48" s="96"/>
      <c r="C48" s="96"/>
      <c r="D48" s="96"/>
      <c r="E48" s="96"/>
      <c r="F48" s="96"/>
      <c r="G48" s="96"/>
      <c r="H48" s="96"/>
    </row>
    <row r="49" spans="1:9">
      <c r="A49" s="95" t="s">
        <v>25</v>
      </c>
      <c r="B49" s="96">
        <f>B45-B47</f>
        <v>1451439.4406881952</v>
      </c>
      <c r="C49" s="96">
        <f t="shared" ref="C49:H49" si="8">C45-C47</f>
        <v>2453198.5118107698</v>
      </c>
      <c r="D49" s="96">
        <f t="shared" si="8"/>
        <v>4467354.0197902601</v>
      </c>
      <c r="E49" s="96">
        <f t="shared" si="8"/>
        <v>6681719.8705592081</v>
      </c>
      <c r="F49" s="96">
        <f t="shared" si="8"/>
        <v>9113532.1843671463</v>
      </c>
      <c r="G49" s="96">
        <f t="shared" si="8"/>
        <v>11922906.020396691</v>
      </c>
      <c r="H49" s="96">
        <f t="shared" si="8"/>
        <v>14711248.394752167</v>
      </c>
    </row>
    <row r="50" spans="1:9">
      <c r="A50" s="95" t="s">
        <v>26</v>
      </c>
      <c r="B50" s="96">
        <f>'3.Other Exp &amp; Taxes'!B100</f>
        <v>-82054.4891950694</v>
      </c>
      <c r="C50" s="96">
        <f>'3.Other Exp &amp; Taxes'!C100</f>
        <v>255705.64284480008</v>
      </c>
      <c r="D50" s="96">
        <f>'3.Other Exp &amp; Taxes'!D100</f>
        <v>847986.50586266769</v>
      </c>
      <c r="E50" s="96">
        <f>'3.Other Exp &amp; Taxes'!E100</f>
        <v>1484635.7594489742</v>
      </c>
      <c r="F50" s="96">
        <f>'3.Other Exp &amp; Taxes'!F100</f>
        <v>2171027.3630436552</v>
      </c>
      <c r="G50" s="96">
        <f>'3.Other Exp &amp; Taxes'!G100</f>
        <v>2949575.9526438355</v>
      </c>
      <c r="H50" s="96">
        <f>'3.Other Exp &amp; Taxes'!H100</f>
        <v>3717337.7988496008</v>
      </c>
    </row>
    <row r="51" spans="1:9">
      <c r="A51" s="97" t="s">
        <v>28</v>
      </c>
      <c r="B51" s="96">
        <f>B49-B50</f>
        <v>1533493.9298832645</v>
      </c>
      <c r="C51" s="96">
        <f>C49-C50</f>
        <v>2197492.8689659699</v>
      </c>
      <c r="D51" s="96">
        <f>D49-D50</f>
        <v>3619367.5139275924</v>
      </c>
      <c r="E51" s="96">
        <f>E49-E50</f>
        <v>5197084.1111102337</v>
      </c>
      <c r="F51" s="96">
        <f>F49-F50</f>
        <v>6942504.8213234916</v>
      </c>
      <c r="G51" s="96">
        <f t="shared" ref="G51:H51" si="9">G49-G50</f>
        <v>8973330.0677528549</v>
      </c>
      <c r="H51" s="96">
        <f t="shared" si="9"/>
        <v>10993910.595902566</v>
      </c>
    </row>
    <row r="52" spans="1:9">
      <c r="A52" s="94"/>
      <c r="B52" s="112"/>
      <c r="C52" s="112"/>
      <c r="D52" s="112"/>
      <c r="E52" s="112"/>
      <c r="F52" s="112"/>
      <c r="G52" s="112"/>
      <c r="H52" s="112"/>
    </row>
    <row r="53" spans="1:9">
      <c r="A53" s="94" t="s">
        <v>520</v>
      </c>
      <c r="B53" s="112">
        <f>B51</f>
        <v>1533493.9298832645</v>
      </c>
      <c r="C53" s="112">
        <f t="shared" ref="C53:H53" si="10">B53+C51</f>
        <v>3730986.7988492344</v>
      </c>
      <c r="D53" s="112">
        <f t="shared" si="10"/>
        <v>7350354.3127768263</v>
      </c>
      <c r="E53" s="112">
        <f t="shared" si="10"/>
        <v>12547438.423887059</v>
      </c>
      <c r="F53" s="112">
        <f t="shared" si="10"/>
        <v>19489943.245210551</v>
      </c>
      <c r="G53" s="112">
        <f t="shared" si="10"/>
        <v>28463273.312963404</v>
      </c>
      <c r="H53" s="112">
        <f t="shared" si="10"/>
        <v>39457183.908865973</v>
      </c>
    </row>
    <row r="56" spans="1:9" ht="32.450000000000003" customHeight="1">
      <c r="A56" s="446" t="s">
        <v>418</v>
      </c>
      <c r="B56" s="446"/>
      <c r="C56" s="446"/>
      <c r="D56" s="446"/>
      <c r="E56" s="446"/>
      <c r="F56" s="446"/>
      <c r="G56" s="446"/>
      <c r="H56" s="446"/>
      <c r="I56" s="446"/>
    </row>
    <row r="58" spans="1:9">
      <c r="A58" s="291"/>
    </row>
  </sheetData>
  <mergeCells count="2">
    <mergeCell ref="A2:H2"/>
    <mergeCell ref="A56:I56"/>
  </mergeCells>
  <pageMargins left="0.7" right="0.7" top="0.75" bottom="0.75" header="0.3" footer="0.3"/>
  <pageSetup scale="7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0"/>
  <sheetViews>
    <sheetView view="pageBreakPreview" topLeftCell="A34" zoomScale="80" zoomScaleSheetLayoutView="80" workbookViewId="0">
      <selection activeCell="A50" sqref="A50:I50"/>
    </sheetView>
  </sheetViews>
  <sheetFormatPr defaultRowHeight="15"/>
  <cols>
    <col min="1" max="1" width="37.28515625" style="53" customWidth="1"/>
    <col min="2" max="2" width="18.42578125" style="53" bestFit="1" customWidth="1"/>
    <col min="3" max="3" width="12.42578125" style="53" bestFit="1" customWidth="1"/>
    <col min="4" max="6" width="13.5703125" style="53" bestFit="1" customWidth="1"/>
    <col min="7" max="8" width="12.42578125" style="53" bestFit="1" customWidth="1"/>
    <col min="9" max="9" width="9.140625" style="53"/>
    <col min="10" max="10" width="32.85546875" style="53" bestFit="1" customWidth="1"/>
    <col min="11" max="16" width="8.7109375" style="53" bestFit="1"/>
    <col min="17" max="17" width="10.140625" style="53" bestFit="1" customWidth="1"/>
    <col min="18" max="256" width="9.140625" style="53"/>
    <col min="257" max="257" width="37.28515625" style="53" customWidth="1"/>
    <col min="258" max="258" width="18.42578125" style="53" bestFit="1" customWidth="1"/>
    <col min="259" max="262" width="12.42578125" style="53" bestFit="1" customWidth="1"/>
    <col min="263" max="263" width="11.7109375" style="53" bestFit="1" customWidth="1"/>
    <col min="264" max="512" width="9.140625" style="53"/>
    <col min="513" max="513" width="37.28515625" style="53" customWidth="1"/>
    <col min="514" max="514" width="18.42578125" style="53" bestFit="1" customWidth="1"/>
    <col min="515" max="518" width="12.42578125" style="53" bestFit="1" customWidth="1"/>
    <col min="519" max="519" width="11.7109375" style="53" bestFit="1" customWidth="1"/>
    <col min="520" max="768" width="9.140625" style="53"/>
    <col min="769" max="769" width="37.28515625" style="53" customWidth="1"/>
    <col min="770" max="770" width="18.42578125" style="53" bestFit="1" customWidth="1"/>
    <col min="771" max="774" width="12.42578125" style="53" bestFit="1" customWidth="1"/>
    <col min="775" max="775" width="11.7109375" style="53" bestFit="1" customWidth="1"/>
    <col min="776" max="1024" width="9.140625" style="53"/>
    <col min="1025" max="1025" width="37.28515625" style="53" customWidth="1"/>
    <col min="1026" max="1026" width="18.42578125" style="53" bestFit="1" customWidth="1"/>
    <col min="1027" max="1030" width="12.42578125" style="53" bestFit="1" customWidth="1"/>
    <col min="1031" max="1031" width="11.7109375" style="53" bestFit="1" customWidth="1"/>
    <col min="1032" max="1280" width="9.140625" style="53"/>
    <col min="1281" max="1281" width="37.28515625" style="53" customWidth="1"/>
    <col min="1282" max="1282" width="18.42578125" style="53" bestFit="1" customWidth="1"/>
    <col min="1283" max="1286" width="12.42578125" style="53" bestFit="1" customWidth="1"/>
    <col min="1287" max="1287" width="11.7109375" style="53" bestFit="1" customWidth="1"/>
    <col min="1288" max="1536" width="9.140625" style="53"/>
    <col min="1537" max="1537" width="37.28515625" style="53" customWidth="1"/>
    <col min="1538" max="1538" width="18.42578125" style="53" bestFit="1" customWidth="1"/>
    <col min="1539" max="1542" width="12.42578125" style="53" bestFit="1" customWidth="1"/>
    <col min="1543" max="1543" width="11.7109375" style="53" bestFit="1" customWidth="1"/>
    <col min="1544" max="1792" width="9.140625" style="53"/>
    <col min="1793" max="1793" width="37.28515625" style="53" customWidth="1"/>
    <col min="1794" max="1794" width="18.42578125" style="53" bestFit="1" customWidth="1"/>
    <col min="1795" max="1798" width="12.42578125" style="53" bestFit="1" customWidth="1"/>
    <col min="1799" max="1799" width="11.7109375" style="53" bestFit="1" customWidth="1"/>
    <col min="1800" max="2048" width="9.140625" style="53"/>
    <col min="2049" max="2049" width="37.28515625" style="53" customWidth="1"/>
    <col min="2050" max="2050" width="18.42578125" style="53" bestFit="1" customWidth="1"/>
    <col min="2051" max="2054" width="12.42578125" style="53" bestFit="1" customWidth="1"/>
    <col min="2055" max="2055" width="11.7109375" style="53" bestFit="1" customWidth="1"/>
    <col min="2056" max="2304" width="9.140625" style="53"/>
    <col min="2305" max="2305" width="37.28515625" style="53" customWidth="1"/>
    <col min="2306" max="2306" width="18.42578125" style="53" bestFit="1" customWidth="1"/>
    <col min="2307" max="2310" width="12.42578125" style="53" bestFit="1" customWidth="1"/>
    <col min="2311" max="2311" width="11.7109375" style="53" bestFit="1" customWidth="1"/>
    <col min="2312" max="2560" width="9.140625" style="53"/>
    <col min="2561" max="2561" width="37.28515625" style="53" customWidth="1"/>
    <col min="2562" max="2562" width="18.42578125" style="53" bestFit="1" customWidth="1"/>
    <col min="2563" max="2566" width="12.42578125" style="53" bestFit="1" customWidth="1"/>
    <col min="2567" max="2567" width="11.7109375" style="53" bestFit="1" customWidth="1"/>
    <col min="2568" max="2816" width="9.140625" style="53"/>
    <col min="2817" max="2817" width="37.28515625" style="53" customWidth="1"/>
    <col min="2818" max="2818" width="18.42578125" style="53" bestFit="1" customWidth="1"/>
    <col min="2819" max="2822" width="12.42578125" style="53" bestFit="1" customWidth="1"/>
    <col min="2823" max="2823" width="11.7109375" style="53" bestFit="1" customWidth="1"/>
    <col min="2824" max="3072" width="9.140625" style="53"/>
    <col min="3073" max="3073" width="37.28515625" style="53" customWidth="1"/>
    <col min="3074" max="3074" width="18.42578125" style="53" bestFit="1" customWidth="1"/>
    <col min="3075" max="3078" width="12.42578125" style="53" bestFit="1" customWidth="1"/>
    <col min="3079" max="3079" width="11.7109375" style="53" bestFit="1" customWidth="1"/>
    <col min="3080" max="3328" width="9.140625" style="53"/>
    <col min="3329" max="3329" width="37.28515625" style="53" customWidth="1"/>
    <col min="3330" max="3330" width="18.42578125" style="53" bestFit="1" customWidth="1"/>
    <col min="3331" max="3334" width="12.42578125" style="53" bestFit="1" customWidth="1"/>
    <col min="3335" max="3335" width="11.7109375" style="53" bestFit="1" customWidth="1"/>
    <col min="3336" max="3584" width="9.140625" style="53"/>
    <col min="3585" max="3585" width="37.28515625" style="53" customWidth="1"/>
    <col min="3586" max="3586" width="18.42578125" style="53" bestFit="1" customWidth="1"/>
    <col min="3587" max="3590" width="12.42578125" style="53" bestFit="1" customWidth="1"/>
    <col min="3591" max="3591" width="11.7109375" style="53" bestFit="1" customWidth="1"/>
    <col min="3592" max="3840" width="9.140625" style="53"/>
    <col min="3841" max="3841" width="37.28515625" style="53" customWidth="1"/>
    <col min="3842" max="3842" width="18.42578125" style="53" bestFit="1" customWidth="1"/>
    <col min="3843" max="3846" width="12.42578125" style="53" bestFit="1" customWidth="1"/>
    <col min="3847" max="3847" width="11.7109375" style="53" bestFit="1" customWidth="1"/>
    <col min="3848" max="4096" width="9.140625" style="53"/>
    <col min="4097" max="4097" width="37.28515625" style="53" customWidth="1"/>
    <col min="4098" max="4098" width="18.42578125" style="53" bestFit="1" customWidth="1"/>
    <col min="4099" max="4102" width="12.42578125" style="53" bestFit="1" customWidth="1"/>
    <col min="4103" max="4103" width="11.7109375" style="53" bestFit="1" customWidth="1"/>
    <col min="4104" max="4352" width="9.140625" style="53"/>
    <col min="4353" max="4353" width="37.28515625" style="53" customWidth="1"/>
    <col min="4354" max="4354" width="18.42578125" style="53" bestFit="1" customWidth="1"/>
    <col min="4355" max="4358" width="12.42578125" style="53" bestFit="1" customWidth="1"/>
    <col min="4359" max="4359" width="11.7109375" style="53" bestFit="1" customWidth="1"/>
    <col min="4360" max="4608" width="9.140625" style="53"/>
    <col min="4609" max="4609" width="37.28515625" style="53" customWidth="1"/>
    <col min="4610" max="4610" width="18.42578125" style="53" bestFit="1" customWidth="1"/>
    <col min="4611" max="4614" width="12.42578125" style="53" bestFit="1" customWidth="1"/>
    <col min="4615" max="4615" width="11.7109375" style="53" bestFit="1" customWidth="1"/>
    <col min="4616" max="4864" width="9.140625" style="53"/>
    <col min="4865" max="4865" width="37.28515625" style="53" customWidth="1"/>
    <col min="4866" max="4866" width="18.42578125" style="53" bestFit="1" customWidth="1"/>
    <col min="4867" max="4870" width="12.42578125" style="53" bestFit="1" customWidth="1"/>
    <col min="4871" max="4871" width="11.7109375" style="53" bestFit="1" customWidth="1"/>
    <col min="4872" max="5120" width="9.140625" style="53"/>
    <col min="5121" max="5121" width="37.28515625" style="53" customWidth="1"/>
    <col min="5122" max="5122" width="18.42578125" style="53" bestFit="1" customWidth="1"/>
    <col min="5123" max="5126" width="12.42578125" style="53" bestFit="1" customWidth="1"/>
    <col min="5127" max="5127" width="11.7109375" style="53" bestFit="1" customWidth="1"/>
    <col min="5128" max="5376" width="9.140625" style="53"/>
    <col min="5377" max="5377" width="37.28515625" style="53" customWidth="1"/>
    <col min="5378" max="5378" width="18.42578125" style="53" bestFit="1" customWidth="1"/>
    <col min="5379" max="5382" width="12.42578125" style="53" bestFit="1" customWidth="1"/>
    <col min="5383" max="5383" width="11.7109375" style="53" bestFit="1" customWidth="1"/>
    <col min="5384" max="5632" width="9.140625" style="53"/>
    <col min="5633" max="5633" width="37.28515625" style="53" customWidth="1"/>
    <col min="5634" max="5634" width="18.42578125" style="53" bestFit="1" customWidth="1"/>
    <col min="5635" max="5638" width="12.42578125" style="53" bestFit="1" customWidth="1"/>
    <col min="5639" max="5639" width="11.7109375" style="53" bestFit="1" customWidth="1"/>
    <col min="5640" max="5888" width="9.140625" style="53"/>
    <col min="5889" max="5889" width="37.28515625" style="53" customWidth="1"/>
    <col min="5890" max="5890" width="18.42578125" style="53" bestFit="1" customWidth="1"/>
    <col min="5891" max="5894" width="12.42578125" style="53" bestFit="1" customWidth="1"/>
    <col min="5895" max="5895" width="11.7109375" style="53" bestFit="1" customWidth="1"/>
    <col min="5896" max="6144" width="9.140625" style="53"/>
    <col min="6145" max="6145" width="37.28515625" style="53" customWidth="1"/>
    <col min="6146" max="6146" width="18.42578125" style="53" bestFit="1" customWidth="1"/>
    <col min="6147" max="6150" width="12.42578125" style="53" bestFit="1" customWidth="1"/>
    <col min="6151" max="6151" width="11.7109375" style="53" bestFit="1" customWidth="1"/>
    <col min="6152" max="6400" width="9.140625" style="53"/>
    <col min="6401" max="6401" width="37.28515625" style="53" customWidth="1"/>
    <col min="6402" max="6402" width="18.42578125" style="53" bestFit="1" customWidth="1"/>
    <col min="6403" max="6406" width="12.42578125" style="53" bestFit="1" customWidth="1"/>
    <col min="6407" max="6407" width="11.7109375" style="53" bestFit="1" customWidth="1"/>
    <col min="6408" max="6656" width="9.140625" style="53"/>
    <col min="6657" max="6657" width="37.28515625" style="53" customWidth="1"/>
    <col min="6658" max="6658" width="18.42578125" style="53" bestFit="1" customWidth="1"/>
    <col min="6659" max="6662" width="12.42578125" style="53" bestFit="1" customWidth="1"/>
    <col min="6663" max="6663" width="11.7109375" style="53" bestFit="1" customWidth="1"/>
    <col min="6664" max="6912" width="9.140625" style="53"/>
    <col min="6913" max="6913" width="37.28515625" style="53" customWidth="1"/>
    <col min="6914" max="6914" width="18.42578125" style="53" bestFit="1" customWidth="1"/>
    <col min="6915" max="6918" width="12.42578125" style="53" bestFit="1" customWidth="1"/>
    <col min="6919" max="6919" width="11.7109375" style="53" bestFit="1" customWidth="1"/>
    <col min="6920" max="7168" width="9.140625" style="53"/>
    <col min="7169" max="7169" width="37.28515625" style="53" customWidth="1"/>
    <col min="7170" max="7170" width="18.42578125" style="53" bestFit="1" customWidth="1"/>
    <col min="7171" max="7174" width="12.42578125" style="53" bestFit="1" customWidth="1"/>
    <col min="7175" max="7175" width="11.7109375" style="53" bestFit="1" customWidth="1"/>
    <col min="7176" max="7424" width="9.140625" style="53"/>
    <col min="7425" max="7425" width="37.28515625" style="53" customWidth="1"/>
    <col min="7426" max="7426" width="18.42578125" style="53" bestFit="1" customWidth="1"/>
    <col min="7427" max="7430" width="12.42578125" style="53" bestFit="1" customWidth="1"/>
    <col min="7431" max="7431" width="11.7109375" style="53" bestFit="1" customWidth="1"/>
    <col min="7432" max="7680" width="9.140625" style="53"/>
    <col min="7681" max="7681" width="37.28515625" style="53" customWidth="1"/>
    <col min="7682" max="7682" width="18.42578125" style="53" bestFit="1" customWidth="1"/>
    <col min="7683" max="7686" width="12.42578125" style="53" bestFit="1" customWidth="1"/>
    <col min="7687" max="7687" width="11.7109375" style="53" bestFit="1" customWidth="1"/>
    <col min="7688" max="7936" width="9.140625" style="53"/>
    <col min="7937" max="7937" width="37.28515625" style="53" customWidth="1"/>
    <col min="7938" max="7938" width="18.42578125" style="53" bestFit="1" customWidth="1"/>
    <col min="7939" max="7942" width="12.42578125" style="53" bestFit="1" customWidth="1"/>
    <col min="7943" max="7943" width="11.7109375" style="53" bestFit="1" customWidth="1"/>
    <col min="7944" max="8192" width="9.140625" style="53"/>
    <col min="8193" max="8193" width="37.28515625" style="53" customWidth="1"/>
    <col min="8194" max="8194" width="18.42578125" style="53" bestFit="1" customWidth="1"/>
    <col min="8195" max="8198" width="12.42578125" style="53" bestFit="1" customWidth="1"/>
    <col min="8199" max="8199" width="11.7109375" style="53" bestFit="1" customWidth="1"/>
    <col min="8200" max="8448" width="9.140625" style="53"/>
    <col min="8449" max="8449" width="37.28515625" style="53" customWidth="1"/>
    <col min="8450" max="8450" width="18.42578125" style="53" bestFit="1" customWidth="1"/>
    <col min="8451" max="8454" width="12.42578125" style="53" bestFit="1" customWidth="1"/>
    <col min="8455" max="8455" width="11.7109375" style="53" bestFit="1" customWidth="1"/>
    <col min="8456" max="8704" width="9.140625" style="53"/>
    <col min="8705" max="8705" width="37.28515625" style="53" customWidth="1"/>
    <col min="8706" max="8706" width="18.42578125" style="53" bestFit="1" customWidth="1"/>
    <col min="8707" max="8710" width="12.42578125" style="53" bestFit="1" customWidth="1"/>
    <col min="8711" max="8711" width="11.7109375" style="53" bestFit="1" customWidth="1"/>
    <col min="8712" max="8960" width="9.140625" style="53"/>
    <col min="8961" max="8961" width="37.28515625" style="53" customWidth="1"/>
    <col min="8962" max="8962" width="18.42578125" style="53" bestFit="1" customWidth="1"/>
    <col min="8963" max="8966" width="12.42578125" style="53" bestFit="1" customWidth="1"/>
    <col min="8967" max="8967" width="11.7109375" style="53" bestFit="1" customWidth="1"/>
    <col min="8968" max="9216" width="9.140625" style="53"/>
    <col min="9217" max="9217" width="37.28515625" style="53" customWidth="1"/>
    <col min="9218" max="9218" width="18.42578125" style="53" bestFit="1" customWidth="1"/>
    <col min="9219" max="9222" width="12.42578125" style="53" bestFit="1" customWidth="1"/>
    <col min="9223" max="9223" width="11.7109375" style="53" bestFit="1" customWidth="1"/>
    <col min="9224" max="9472" width="9.140625" style="53"/>
    <col min="9473" max="9473" width="37.28515625" style="53" customWidth="1"/>
    <col min="9474" max="9474" width="18.42578125" style="53" bestFit="1" customWidth="1"/>
    <col min="9475" max="9478" width="12.42578125" style="53" bestFit="1" customWidth="1"/>
    <col min="9479" max="9479" width="11.7109375" style="53" bestFit="1" customWidth="1"/>
    <col min="9480" max="9728" width="9.140625" style="53"/>
    <col min="9729" max="9729" width="37.28515625" style="53" customWidth="1"/>
    <col min="9730" max="9730" width="18.42578125" style="53" bestFit="1" customWidth="1"/>
    <col min="9731" max="9734" width="12.42578125" style="53" bestFit="1" customWidth="1"/>
    <col min="9735" max="9735" width="11.7109375" style="53" bestFit="1" customWidth="1"/>
    <col min="9736" max="9984" width="9.140625" style="53"/>
    <col min="9985" max="9985" width="37.28515625" style="53" customWidth="1"/>
    <col min="9986" max="9986" width="18.42578125" style="53" bestFit="1" customWidth="1"/>
    <col min="9987" max="9990" width="12.42578125" style="53" bestFit="1" customWidth="1"/>
    <col min="9991" max="9991" width="11.7109375" style="53" bestFit="1" customWidth="1"/>
    <col min="9992" max="10240" width="9.140625" style="53"/>
    <col min="10241" max="10241" width="37.28515625" style="53" customWidth="1"/>
    <col min="10242" max="10242" width="18.42578125" style="53" bestFit="1" customWidth="1"/>
    <col min="10243" max="10246" width="12.42578125" style="53" bestFit="1" customWidth="1"/>
    <col min="10247" max="10247" width="11.7109375" style="53" bestFit="1" customWidth="1"/>
    <col min="10248" max="10496" width="9.140625" style="53"/>
    <col min="10497" max="10497" width="37.28515625" style="53" customWidth="1"/>
    <col min="10498" max="10498" width="18.42578125" style="53" bestFit="1" customWidth="1"/>
    <col min="10499" max="10502" width="12.42578125" style="53" bestFit="1" customWidth="1"/>
    <col min="10503" max="10503" width="11.7109375" style="53" bestFit="1" customWidth="1"/>
    <col min="10504" max="10752" width="9.140625" style="53"/>
    <col min="10753" max="10753" width="37.28515625" style="53" customWidth="1"/>
    <col min="10754" max="10754" width="18.42578125" style="53" bestFit="1" customWidth="1"/>
    <col min="10755" max="10758" width="12.42578125" style="53" bestFit="1" customWidth="1"/>
    <col min="10759" max="10759" width="11.7109375" style="53" bestFit="1" customWidth="1"/>
    <col min="10760" max="11008" width="9.140625" style="53"/>
    <col min="11009" max="11009" width="37.28515625" style="53" customWidth="1"/>
    <col min="11010" max="11010" width="18.42578125" style="53" bestFit="1" customWidth="1"/>
    <col min="11011" max="11014" width="12.42578125" style="53" bestFit="1" customWidth="1"/>
    <col min="11015" max="11015" width="11.7109375" style="53" bestFit="1" customWidth="1"/>
    <col min="11016" max="11264" width="9.140625" style="53"/>
    <col min="11265" max="11265" width="37.28515625" style="53" customWidth="1"/>
    <col min="11266" max="11266" width="18.42578125" style="53" bestFit="1" customWidth="1"/>
    <col min="11267" max="11270" width="12.42578125" style="53" bestFit="1" customWidth="1"/>
    <col min="11271" max="11271" width="11.7109375" style="53" bestFit="1" customWidth="1"/>
    <col min="11272" max="11520" width="9.140625" style="53"/>
    <col min="11521" max="11521" width="37.28515625" style="53" customWidth="1"/>
    <col min="11522" max="11522" width="18.42578125" style="53" bestFit="1" customWidth="1"/>
    <col min="11523" max="11526" width="12.42578125" style="53" bestFit="1" customWidth="1"/>
    <col min="11527" max="11527" width="11.7109375" style="53" bestFit="1" customWidth="1"/>
    <col min="11528" max="11776" width="9.140625" style="53"/>
    <col min="11777" max="11777" width="37.28515625" style="53" customWidth="1"/>
    <col min="11778" max="11778" width="18.42578125" style="53" bestFit="1" customWidth="1"/>
    <col min="11779" max="11782" width="12.42578125" style="53" bestFit="1" customWidth="1"/>
    <col min="11783" max="11783" width="11.7109375" style="53" bestFit="1" customWidth="1"/>
    <col min="11784" max="12032" width="9.140625" style="53"/>
    <col min="12033" max="12033" width="37.28515625" style="53" customWidth="1"/>
    <col min="12034" max="12034" width="18.42578125" style="53" bestFit="1" customWidth="1"/>
    <col min="12035" max="12038" width="12.42578125" style="53" bestFit="1" customWidth="1"/>
    <col min="12039" max="12039" width="11.7109375" style="53" bestFit="1" customWidth="1"/>
    <col min="12040" max="12288" width="9.140625" style="53"/>
    <col min="12289" max="12289" width="37.28515625" style="53" customWidth="1"/>
    <col min="12290" max="12290" width="18.42578125" style="53" bestFit="1" customWidth="1"/>
    <col min="12291" max="12294" width="12.42578125" style="53" bestFit="1" customWidth="1"/>
    <col min="12295" max="12295" width="11.7109375" style="53" bestFit="1" customWidth="1"/>
    <col min="12296" max="12544" width="9.140625" style="53"/>
    <col min="12545" max="12545" width="37.28515625" style="53" customWidth="1"/>
    <col min="12546" max="12546" width="18.42578125" style="53" bestFit="1" customWidth="1"/>
    <col min="12547" max="12550" width="12.42578125" style="53" bestFit="1" customWidth="1"/>
    <col min="12551" max="12551" width="11.7109375" style="53" bestFit="1" customWidth="1"/>
    <col min="12552" max="12800" width="9.140625" style="53"/>
    <col min="12801" max="12801" width="37.28515625" style="53" customWidth="1"/>
    <col min="12802" max="12802" width="18.42578125" style="53" bestFit="1" customWidth="1"/>
    <col min="12803" max="12806" width="12.42578125" style="53" bestFit="1" customWidth="1"/>
    <col min="12807" max="12807" width="11.7109375" style="53" bestFit="1" customWidth="1"/>
    <col min="12808" max="13056" width="9.140625" style="53"/>
    <col min="13057" max="13057" width="37.28515625" style="53" customWidth="1"/>
    <col min="13058" max="13058" width="18.42578125" style="53" bestFit="1" customWidth="1"/>
    <col min="13059" max="13062" width="12.42578125" style="53" bestFit="1" customWidth="1"/>
    <col min="13063" max="13063" width="11.7109375" style="53" bestFit="1" customWidth="1"/>
    <col min="13064" max="13312" width="9.140625" style="53"/>
    <col min="13313" max="13313" width="37.28515625" style="53" customWidth="1"/>
    <col min="13314" max="13314" width="18.42578125" style="53" bestFit="1" customWidth="1"/>
    <col min="13315" max="13318" width="12.42578125" style="53" bestFit="1" customWidth="1"/>
    <col min="13319" max="13319" width="11.7109375" style="53" bestFit="1" customWidth="1"/>
    <col min="13320" max="13568" width="9.140625" style="53"/>
    <col min="13569" max="13569" width="37.28515625" style="53" customWidth="1"/>
    <col min="13570" max="13570" width="18.42578125" style="53" bestFit="1" customWidth="1"/>
    <col min="13571" max="13574" width="12.42578125" style="53" bestFit="1" customWidth="1"/>
    <col min="13575" max="13575" width="11.7109375" style="53" bestFit="1" customWidth="1"/>
    <col min="13576" max="13824" width="9.140625" style="53"/>
    <col min="13825" max="13825" width="37.28515625" style="53" customWidth="1"/>
    <col min="13826" max="13826" width="18.42578125" style="53" bestFit="1" customWidth="1"/>
    <col min="13827" max="13830" width="12.42578125" style="53" bestFit="1" customWidth="1"/>
    <col min="13831" max="13831" width="11.7109375" style="53" bestFit="1" customWidth="1"/>
    <col min="13832" max="14080" width="9.140625" style="53"/>
    <col min="14081" max="14081" width="37.28515625" style="53" customWidth="1"/>
    <col min="14082" max="14082" width="18.42578125" style="53" bestFit="1" customWidth="1"/>
    <col min="14083" max="14086" width="12.42578125" style="53" bestFit="1" customWidth="1"/>
    <col min="14087" max="14087" width="11.7109375" style="53" bestFit="1" customWidth="1"/>
    <col min="14088" max="14336" width="9.140625" style="53"/>
    <col min="14337" max="14337" width="37.28515625" style="53" customWidth="1"/>
    <col min="14338" max="14338" width="18.42578125" style="53" bestFit="1" customWidth="1"/>
    <col min="14339" max="14342" width="12.42578125" style="53" bestFit="1" customWidth="1"/>
    <col min="14343" max="14343" width="11.7109375" style="53" bestFit="1" customWidth="1"/>
    <col min="14344" max="14592" width="9.140625" style="53"/>
    <col min="14593" max="14593" width="37.28515625" style="53" customWidth="1"/>
    <col min="14594" max="14594" width="18.42578125" style="53" bestFit="1" customWidth="1"/>
    <col min="14595" max="14598" width="12.42578125" style="53" bestFit="1" customWidth="1"/>
    <col min="14599" max="14599" width="11.7109375" style="53" bestFit="1" customWidth="1"/>
    <col min="14600" max="14848" width="9.140625" style="53"/>
    <col min="14849" max="14849" width="37.28515625" style="53" customWidth="1"/>
    <col min="14850" max="14850" width="18.42578125" style="53" bestFit="1" customWidth="1"/>
    <col min="14851" max="14854" width="12.42578125" style="53" bestFit="1" customWidth="1"/>
    <col min="14855" max="14855" width="11.7109375" style="53" bestFit="1" customWidth="1"/>
    <col min="14856" max="15104" width="9.140625" style="53"/>
    <col min="15105" max="15105" width="37.28515625" style="53" customWidth="1"/>
    <col min="15106" max="15106" width="18.42578125" style="53" bestFit="1" customWidth="1"/>
    <col min="15107" max="15110" width="12.42578125" style="53" bestFit="1" customWidth="1"/>
    <col min="15111" max="15111" width="11.7109375" style="53" bestFit="1" customWidth="1"/>
    <col min="15112" max="15360" width="9.140625" style="53"/>
    <col min="15361" max="15361" width="37.28515625" style="53" customWidth="1"/>
    <col min="15362" max="15362" width="18.42578125" style="53" bestFit="1" customWidth="1"/>
    <col min="15363" max="15366" width="12.42578125" style="53" bestFit="1" customWidth="1"/>
    <col min="15367" max="15367" width="11.7109375" style="53" bestFit="1" customWidth="1"/>
    <col min="15368" max="15616" width="9.140625" style="53"/>
    <col min="15617" max="15617" width="37.28515625" style="53" customWidth="1"/>
    <col min="15618" max="15618" width="18.42578125" style="53" bestFit="1" customWidth="1"/>
    <col min="15619" max="15622" width="12.42578125" style="53" bestFit="1" customWidth="1"/>
    <col min="15623" max="15623" width="11.7109375" style="53" bestFit="1" customWidth="1"/>
    <col min="15624" max="15872" width="9.140625" style="53"/>
    <col min="15873" max="15873" width="37.28515625" style="53" customWidth="1"/>
    <col min="15874" max="15874" width="18.42578125" style="53" bestFit="1" customWidth="1"/>
    <col min="15875" max="15878" width="12.42578125" style="53" bestFit="1" customWidth="1"/>
    <col min="15879" max="15879" width="11.7109375" style="53" bestFit="1" customWidth="1"/>
    <col min="15880" max="16128" width="9.140625" style="53"/>
    <col min="16129" max="16129" width="37.28515625" style="53" customWidth="1"/>
    <col min="16130" max="16130" width="18.42578125" style="53" bestFit="1" customWidth="1"/>
    <col min="16131" max="16134" width="12.42578125" style="53" bestFit="1" customWidth="1"/>
    <col min="16135" max="16135" width="11.7109375" style="53" bestFit="1" customWidth="1"/>
    <col min="16136" max="16384" width="9.140625" style="53"/>
  </cols>
  <sheetData>
    <row r="1" spans="1:18">
      <c r="A1" s="430"/>
      <c r="B1" s="430"/>
      <c r="C1" s="430"/>
      <c r="D1" s="430"/>
      <c r="E1" s="430"/>
      <c r="F1" s="430"/>
    </row>
    <row r="2" spans="1:18" ht="18.75">
      <c r="A2" s="447" t="s">
        <v>574</v>
      </c>
      <c r="B2" s="415"/>
      <c r="C2" s="415"/>
      <c r="D2" s="415"/>
      <c r="E2" s="415"/>
      <c r="F2" s="415"/>
      <c r="G2" s="415"/>
      <c r="H2" s="415"/>
      <c r="I2" s="84"/>
    </row>
    <row r="3" spans="1:18">
      <c r="A3" s="85"/>
      <c r="B3" s="55"/>
      <c r="C3" s="55"/>
      <c r="D3" s="55"/>
      <c r="E3" s="55"/>
      <c r="F3" s="55"/>
    </row>
    <row r="4" spans="1:18">
      <c r="A4" s="118" t="s">
        <v>0</v>
      </c>
      <c r="B4" s="119" t="s">
        <v>2</v>
      </c>
      <c r="C4" s="119" t="s">
        <v>3</v>
      </c>
      <c r="D4" s="119" t="s">
        <v>4</v>
      </c>
      <c r="E4" s="119" t="s">
        <v>5</v>
      </c>
      <c r="F4" s="119" t="s">
        <v>6</v>
      </c>
      <c r="G4" s="120" t="s">
        <v>171</v>
      </c>
      <c r="H4" s="120" t="s">
        <v>170</v>
      </c>
    </row>
    <row r="5" spans="1:18" s="54" customFormat="1">
      <c r="A5" s="121"/>
      <c r="B5" s="122"/>
      <c r="C5" s="123"/>
      <c r="D5" s="123"/>
      <c r="E5" s="123"/>
      <c r="F5" s="123"/>
      <c r="G5" s="123"/>
      <c r="H5" s="123"/>
    </row>
    <row r="6" spans="1:18">
      <c r="A6" s="124" t="s">
        <v>49</v>
      </c>
      <c r="B6" s="125"/>
      <c r="C6" s="125"/>
      <c r="D6" s="125"/>
      <c r="E6" s="125"/>
      <c r="F6" s="125"/>
      <c r="G6" s="125"/>
      <c r="H6" s="125"/>
    </row>
    <row r="7" spans="1:18">
      <c r="A7" s="126" t="s">
        <v>50</v>
      </c>
      <c r="B7" s="127"/>
      <c r="C7" s="127"/>
      <c r="D7" s="127"/>
      <c r="E7" s="127"/>
      <c r="F7" s="127"/>
      <c r="G7" s="127"/>
      <c r="H7" s="127"/>
    </row>
    <row r="8" spans="1:18">
      <c r="A8" s="128" t="s">
        <v>253</v>
      </c>
      <c r="B8" s="129">
        <f>'8.Cash Flow '!C33</f>
        <v>2933646.2894490957</v>
      </c>
      <c r="C8" s="129">
        <f>'8.Cash Flow '!D33</f>
        <v>4942184.1120997965</v>
      </c>
      <c r="D8" s="129">
        <f>'8.Cash Flow '!E33</f>
        <v>8161896.2555871755</v>
      </c>
      <c r="E8" s="129">
        <f>'8.Cash Flow '!F33</f>
        <v>12717158.25817284</v>
      </c>
      <c r="F8" s="129">
        <f>'8.Cash Flow '!G33</f>
        <v>18739508.560815379</v>
      </c>
      <c r="G8" s="129">
        <f>'8.Cash Flow '!H33</f>
        <v>26207784.972804025</v>
      </c>
      <c r="H8" s="129">
        <f>'8.Cash Flow '!I33</f>
        <v>35328968.38958551</v>
      </c>
      <c r="K8" s="68"/>
      <c r="L8" s="68"/>
      <c r="M8" s="68"/>
      <c r="N8" s="68"/>
      <c r="O8" s="68"/>
      <c r="P8" s="68"/>
      <c r="Q8" s="68"/>
      <c r="R8" s="68"/>
    </row>
    <row r="9" spans="1:18">
      <c r="A9" s="130" t="s">
        <v>254</v>
      </c>
      <c r="B9" s="131"/>
      <c r="C9" s="131"/>
      <c r="D9" s="131"/>
      <c r="E9" s="131"/>
      <c r="F9" s="131"/>
      <c r="G9" s="131"/>
      <c r="H9" s="131"/>
      <c r="K9" s="68"/>
      <c r="L9" s="68"/>
      <c r="M9" s="68"/>
      <c r="N9" s="68"/>
      <c r="O9" s="68"/>
      <c r="P9" s="68"/>
      <c r="Q9" s="68"/>
      <c r="R9" s="68"/>
    </row>
    <row r="10" spans="1:18">
      <c r="A10" s="130" t="s">
        <v>611</v>
      </c>
      <c r="B10" s="131"/>
      <c r="C10" s="131"/>
      <c r="D10" s="131"/>
      <c r="E10" s="131"/>
      <c r="F10" s="131"/>
      <c r="G10" s="131"/>
      <c r="H10" s="131"/>
      <c r="K10" s="68"/>
      <c r="L10" s="68"/>
      <c r="M10" s="68"/>
      <c r="N10" s="68"/>
      <c r="O10" s="68"/>
      <c r="P10" s="68"/>
      <c r="Q10" s="68"/>
      <c r="R10" s="68"/>
    </row>
    <row r="11" spans="1:18">
      <c r="A11" s="126" t="s">
        <v>255</v>
      </c>
      <c r="B11" s="129">
        <f t="shared" ref="B11:H11" si="0">SUM(B8:B10)</f>
        <v>2933646.2894490957</v>
      </c>
      <c r="C11" s="129">
        <f t="shared" si="0"/>
        <v>4942184.1120997965</v>
      </c>
      <c r="D11" s="129">
        <f t="shared" si="0"/>
        <v>8161896.2555871755</v>
      </c>
      <c r="E11" s="129">
        <f t="shared" si="0"/>
        <v>12717158.25817284</v>
      </c>
      <c r="F11" s="129">
        <f t="shared" si="0"/>
        <v>18739508.560815379</v>
      </c>
      <c r="G11" s="129">
        <f t="shared" si="0"/>
        <v>26207784.972804025</v>
      </c>
      <c r="H11" s="129">
        <f t="shared" si="0"/>
        <v>35328968.38958551</v>
      </c>
    </row>
    <row r="12" spans="1:18">
      <c r="A12" s="126"/>
      <c r="B12" s="131"/>
      <c r="C12" s="131"/>
      <c r="D12" s="131"/>
      <c r="E12" s="131"/>
      <c r="F12" s="131"/>
      <c r="G12" s="131"/>
      <c r="H12" s="131"/>
      <c r="J12" s="68"/>
      <c r="K12" s="68"/>
      <c r="L12" s="68"/>
      <c r="M12" s="68"/>
      <c r="N12" s="68"/>
      <c r="O12" s="68"/>
      <c r="P12" s="68"/>
      <c r="Q12" s="68"/>
    </row>
    <row r="13" spans="1:18">
      <c r="A13" s="132" t="s">
        <v>256</v>
      </c>
      <c r="B13" s="131">
        <f>'3.Other Exp &amp; Taxes'!C66</f>
        <v>25577710.98</v>
      </c>
      <c r="C13" s="131">
        <f>'3.Other Exp &amp; Taxes'!D66</f>
        <v>24620808.5119</v>
      </c>
      <c r="D13" s="131">
        <f>'3.Other Exp &amp; Taxes'!E66</f>
        <v>23663906.0438</v>
      </c>
      <c r="E13" s="131">
        <f>'3.Other Exp &amp; Taxes'!F66</f>
        <v>22707003.575700004</v>
      </c>
      <c r="F13" s="131">
        <f>'3.Other Exp &amp; Taxes'!G66</f>
        <v>21750101.107600003</v>
      </c>
      <c r="G13" s="131">
        <f>'3.Other Exp &amp; Taxes'!H66</f>
        <v>20793198.639500003</v>
      </c>
      <c r="H13" s="131">
        <f>'3.Other Exp &amp; Taxes'!I66</f>
        <v>19836296.171400003</v>
      </c>
    </row>
    <row r="14" spans="1:18">
      <c r="A14" s="132" t="s">
        <v>257</v>
      </c>
      <c r="B14" s="131">
        <f>'3.Other Exp &amp; Taxes'!C67</f>
        <v>956902.46809999994</v>
      </c>
      <c r="C14" s="131">
        <f>'3.Other Exp &amp; Taxes'!D67</f>
        <v>956902.46809999994</v>
      </c>
      <c r="D14" s="131">
        <f>'3.Other Exp &amp; Taxes'!E67</f>
        <v>956902.46809999994</v>
      </c>
      <c r="E14" s="131">
        <f>'3.Other Exp &amp; Taxes'!F67</f>
        <v>956902.46809999994</v>
      </c>
      <c r="F14" s="131">
        <f>'3.Other Exp &amp; Taxes'!G67</f>
        <v>956902.46809999994</v>
      </c>
      <c r="G14" s="131">
        <f>'3.Other Exp &amp; Taxes'!H67</f>
        <v>956902.46809999994</v>
      </c>
      <c r="H14" s="131">
        <f>'3.Other Exp &amp; Taxes'!I67</f>
        <v>956902.46809999994</v>
      </c>
      <c r="K14" s="68"/>
      <c r="L14" s="68"/>
      <c r="M14" s="68"/>
      <c r="N14" s="68"/>
      <c r="O14" s="68"/>
      <c r="P14" s="68"/>
      <c r="Q14" s="68"/>
    </row>
    <row r="15" spans="1:18" s="55" customFormat="1">
      <c r="A15" s="126" t="s">
        <v>202</v>
      </c>
      <c r="B15" s="129">
        <f t="shared" ref="B15:H15" si="1">B13-B14</f>
        <v>24620808.5119</v>
      </c>
      <c r="C15" s="129">
        <f t="shared" si="1"/>
        <v>23663906.0438</v>
      </c>
      <c r="D15" s="129">
        <f t="shared" si="1"/>
        <v>22707003.5757</v>
      </c>
      <c r="E15" s="129">
        <f t="shared" si="1"/>
        <v>21750101.107600003</v>
      </c>
      <c r="F15" s="129">
        <f t="shared" si="1"/>
        <v>20793198.639500003</v>
      </c>
      <c r="G15" s="129">
        <f t="shared" si="1"/>
        <v>19836296.171400003</v>
      </c>
      <c r="H15" s="129">
        <f t="shared" si="1"/>
        <v>18879393.703300003</v>
      </c>
    </row>
    <row r="16" spans="1:18" s="55" customFormat="1">
      <c r="A16" s="126"/>
      <c r="B16" s="129"/>
      <c r="C16" s="129"/>
      <c r="D16" s="129"/>
      <c r="E16" s="129"/>
      <c r="F16" s="129"/>
      <c r="G16" s="129"/>
      <c r="H16" s="129"/>
    </row>
    <row r="17" spans="1:8" s="55" customFormat="1">
      <c r="A17" s="133"/>
      <c r="B17" s="129"/>
      <c r="C17" s="129"/>
      <c r="D17" s="129"/>
      <c r="E17" s="129"/>
      <c r="F17" s="129"/>
      <c r="G17" s="129"/>
      <c r="H17" s="129"/>
    </row>
    <row r="18" spans="1:8" s="55" customFormat="1">
      <c r="A18" s="126" t="s">
        <v>522</v>
      </c>
      <c r="B18" s="129">
        <f>'8.Cash Flow '!C20-'6.Cons Profit &amp; Loss'!B43</f>
        <v>1060000</v>
      </c>
      <c r="C18" s="129">
        <f>B18-'6.Cons Profit &amp; Loss'!C43</f>
        <v>795000</v>
      </c>
      <c r="D18" s="129">
        <f>C18-'6.Cons Profit &amp; Loss'!D43</f>
        <v>530000</v>
      </c>
      <c r="E18" s="129">
        <f>D18-'6.Cons Profit &amp; Loss'!E43</f>
        <v>265000</v>
      </c>
      <c r="F18" s="129">
        <f>E18-'6.Cons Profit &amp; Loss'!F43</f>
        <v>0</v>
      </c>
      <c r="G18" s="129">
        <f>F18-'6.Cons Profit &amp; Loss'!G43</f>
        <v>0</v>
      </c>
      <c r="H18" s="129">
        <f>G18-'6.Cons Profit &amp; Loss'!H43</f>
        <v>0</v>
      </c>
    </row>
    <row r="19" spans="1:8">
      <c r="A19" s="132"/>
      <c r="B19" s="131"/>
      <c r="C19" s="131"/>
      <c r="D19" s="131"/>
      <c r="E19" s="131"/>
      <c r="F19" s="131"/>
      <c r="G19" s="131"/>
      <c r="H19" s="131"/>
    </row>
    <row r="20" spans="1:8">
      <c r="A20" s="133" t="s">
        <v>259</v>
      </c>
      <c r="B20" s="134">
        <f t="shared" ref="B20:H20" si="2">B11+B15+B17+B18</f>
        <v>28614454.801349096</v>
      </c>
      <c r="C20" s="134">
        <f t="shared" si="2"/>
        <v>29401090.155899797</v>
      </c>
      <c r="D20" s="134">
        <f t="shared" si="2"/>
        <v>31398899.831287175</v>
      </c>
      <c r="E20" s="134">
        <f t="shared" si="2"/>
        <v>34732259.365772843</v>
      </c>
      <c r="F20" s="134">
        <f t="shared" si="2"/>
        <v>39532707.200315386</v>
      </c>
      <c r="G20" s="134">
        <f t="shared" si="2"/>
        <v>46044081.144204028</v>
      </c>
      <c r="H20" s="134">
        <f t="shared" si="2"/>
        <v>54208362.092885509</v>
      </c>
    </row>
    <row r="21" spans="1:8">
      <c r="A21" s="121"/>
      <c r="B21" s="135"/>
      <c r="C21" s="135"/>
      <c r="D21" s="135"/>
      <c r="E21" s="135"/>
      <c r="F21" s="135"/>
      <c r="G21" s="135"/>
      <c r="H21" s="135"/>
    </row>
    <row r="22" spans="1:8">
      <c r="A22" s="124" t="s">
        <v>260</v>
      </c>
      <c r="B22" s="136"/>
      <c r="C22" s="136"/>
      <c r="D22" s="136"/>
      <c r="E22" s="136"/>
      <c r="F22" s="136"/>
      <c r="G22" s="136"/>
      <c r="H22" s="136"/>
    </row>
    <row r="23" spans="1:8">
      <c r="A23" s="126" t="s">
        <v>261</v>
      </c>
      <c r="B23" s="136"/>
      <c r="C23" s="136"/>
      <c r="D23" s="136"/>
      <c r="E23" s="136"/>
      <c r="F23" s="136"/>
      <c r="G23" s="136"/>
      <c r="H23" s="136"/>
    </row>
    <row r="24" spans="1:8">
      <c r="A24" s="130" t="s">
        <v>262</v>
      </c>
      <c r="B24" s="129"/>
      <c r="C24" s="129"/>
      <c r="D24" s="129"/>
      <c r="E24" s="129"/>
      <c r="F24" s="129"/>
      <c r="G24" s="129"/>
      <c r="H24" s="129"/>
    </row>
    <row r="25" spans="1:8">
      <c r="A25" s="130" t="s">
        <v>263</v>
      </c>
      <c r="B25" s="135"/>
      <c r="C25" s="135"/>
      <c r="D25" s="135"/>
      <c r="E25" s="135"/>
      <c r="F25" s="135"/>
      <c r="G25" s="135"/>
      <c r="H25" s="135"/>
    </row>
    <row r="26" spans="1:8" s="54" customFormat="1">
      <c r="A26" s="130" t="s">
        <v>264</v>
      </c>
      <c r="B26" s="129"/>
      <c r="C26" s="129"/>
      <c r="D26" s="129"/>
      <c r="E26" s="129"/>
      <c r="F26" s="129"/>
      <c r="G26" s="129"/>
      <c r="H26" s="129"/>
    </row>
    <row r="27" spans="1:8" s="54" customFormat="1">
      <c r="A27" s="126" t="s">
        <v>265</v>
      </c>
      <c r="B27" s="134">
        <f t="shared" ref="B27:H27" si="3">SUM(B24:B26)</f>
        <v>0</v>
      </c>
      <c r="C27" s="134">
        <f t="shared" si="3"/>
        <v>0</v>
      </c>
      <c r="D27" s="134">
        <f t="shared" si="3"/>
        <v>0</v>
      </c>
      <c r="E27" s="134">
        <f t="shared" si="3"/>
        <v>0</v>
      </c>
      <c r="F27" s="134">
        <f t="shared" si="3"/>
        <v>0</v>
      </c>
      <c r="G27" s="134">
        <f t="shared" si="3"/>
        <v>0</v>
      </c>
      <c r="H27" s="134">
        <f t="shared" si="3"/>
        <v>0</v>
      </c>
    </row>
    <row r="28" spans="1:8" s="54" customFormat="1">
      <c r="A28" s="126" t="s">
        <v>266</v>
      </c>
      <c r="B28" s="134">
        <f>'4.TL repayment sch'!G21</f>
        <v>7038196.916361046</v>
      </c>
      <c r="C28" s="134">
        <f>'4.TL repayment sch'!G33</f>
        <v>5627339.4019457679</v>
      </c>
      <c r="D28" s="134">
        <f>'4.TL repayment sch'!G45</f>
        <v>4005781.5634055454</v>
      </c>
      <c r="E28" s="134">
        <f>'4.TL repayment sch'!G57</f>
        <v>2142056.9867809555</v>
      </c>
      <c r="F28" s="134">
        <f>'4.TL repayment sch'!G69</f>
        <v>-5.5297277867794037E-10</v>
      </c>
      <c r="G28" s="134">
        <f>'4.TL repayment sch'!G81</f>
        <v>-2461956.1238641925</v>
      </c>
      <c r="H28" s="134">
        <f>'[1]Term Loan'!J72+'[1]Term Loan'!S72</f>
        <v>0</v>
      </c>
    </row>
    <row r="29" spans="1:8" s="54" customFormat="1">
      <c r="A29" s="126" t="s">
        <v>267</v>
      </c>
      <c r="B29" s="134"/>
      <c r="C29" s="134"/>
      <c r="D29" s="134"/>
      <c r="E29" s="134"/>
      <c r="F29" s="134"/>
      <c r="G29" s="134"/>
      <c r="H29" s="134"/>
    </row>
    <row r="30" spans="1:8" s="54" customFormat="1">
      <c r="A30" s="126"/>
      <c r="B30" s="137"/>
      <c r="C30" s="137"/>
      <c r="D30" s="137"/>
      <c r="E30" s="137"/>
      <c r="F30" s="137"/>
      <c r="G30" s="137"/>
      <c r="H30" s="137"/>
    </row>
    <row r="31" spans="1:8">
      <c r="A31" s="133" t="s">
        <v>268</v>
      </c>
      <c r="B31" s="134">
        <f t="shared" ref="B31:H31" si="4">SUM(B27:B29)</f>
        <v>7038196.916361046</v>
      </c>
      <c r="C31" s="134">
        <f t="shared" si="4"/>
        <v>5627339.4019457679</v>
      </c>
      <c r="D31" s="134">
        <f t="shared" si="4"/>
        <v>4005781.5634055454</v>
      </c>
      <c r="E31" s="134">
        <f t="shared" si="4"/>
        <v>2142056.9867809555</v>
      </c>
      <c r="F31" s="134">
        <f t="shared" si="4"/>
        <v>-5.5297277867794037E-10</v>
      </c>
      <c r="G31" s="134">
        <f t="shared" si="4"/>
        <v>-2461956.1238641925</v>
      </c>
      <c r="H31" s="134">
        <f t="shared" si="4"/>
        <v>0</v>
      </c>
    </row>
    <row r="32" spans="1:8">
      <c r="A32" s="121"/>
      <c r="B32" s="138"/>
      <c r="C32" s="138"/>
      <c r="D32" s="138"/>
      <c r="E32" s="138"/>
      <c r="F32" s="138"/>
      <c r="G32" s="138"/>
      <c r="H32" s="138"/>
    </row>
    <row r="33" spans="1:8">
      <c r="A33" s="132" t="s">
        <v>269</v>
      </c>
      <c r="B33" s="131">
        <f>'1.Project Cost and MOF'!E21</f>
        <v>3901137.3671047837</v>
      </c>
      <c r="C33" s="131">
        <f>B33</f>
        <v>3901137.3671047837</v>
      </c>
      <c r="D33" s="131">
        <f t="shared" ref="D33:H34" si="5">C33</f>
        <v>3901137.3671047837</v>
      </c>
      <c r="E33" s="131">
        <f t="shared" si="5"/>
        <v>3901137.3671047837</v>
      </c>
      <c r="F33" s="131">
        <f t="shared" si="5"/>
        <v>3901137.3671047837</v>
      </c>
      <c r="G33" s="131">
        <f t="shared" si="5"/>
        <v>3901137.3671047837</v>
      </c>
      <c r="H33" s="131">
        <f t="shared" si="5"/>
        <v>3901137.3671047837</v>
      </c>
    </row>
    <row r="34" spans="1:8">
      <c r="A34" s="132" t="s">
        <v>523</v>
      </c>
      <c r="B34" s="131">
        <f>'1.Project Cost and MOF'!E19</f>
        <v>16141626.588</v>
      </c>
      <c r="C34" s="131">
        <f>B34</f>
        <v>16141626.588</v>
      </c>
      <c r="D34" s="131">
        <f t="shared" si="5"/>
        <v>16141626.588</v>
      </c>
      <c r="E34" s="131">
        <f t="shared" si="5"/>
        <v>16141626.588</v>
      </c>
      <c r="F34" s="131">
        <f t="shared" si="5"/>
        <v>16141626.588</v>
      </c>
      <c r="G34" s="131">
        <f t="shared" si="5"/>
        <v>16141626.588</v>
      </c>
      <c r="H34" s="131">
        <f t="shared" si="5"/>
        <v>16141626.588</v>
      </c>
    </row>
    <row r="35" spans="1:8">
      <c r="A35" s="126" t="s">
        <v>270</v>
      </c>
      <c r="B35" s="131"/>
      <c r="C35" s="131"/>
      <c r="D35" s="131"/>
      <c r="E35" s="131"/>
      <c r="F35" s="131"/>
      <c r="G35" s="131"/>
      <c r="H35" s="131"/>
    </row>
    <row r="36" spans="1:8">
      <c r="A36" s="132" t="s">
        <v>271</v>
      </c>
      <c r="B36" s="131">
        <v>0</v>
      </c>
      <c r="C36" s="131">
        <f t="shared" ref="C36:H36" si="6">B39</f>
        <v>1533493.9298832645</v>
      </c>
      <c r="D36" s="131">
        <f t="shared" si="6"/>
        <v>3730986.7988492344</v>
      </c>
      <c r="E36" s="131">
        <f t="shared" si="6"/>
        <v>7350354.3127768263</v>
      </c>
      <c r="F36" s="131">
        <f t="shared" si="6"/>
        <v>12547438.423887059</v>
      </c>
      <c r="G36" s="131">
        <f t="shared" si="6"/>
        <v>19489943.245210551</v>
      </c>
      <c r="H36" s="131">
        <f t="shared" si="6"/>
        <v>28463273.312963404</v>
      </c>
    </row>
    <row r="37" spans="1:8">
      <c r="A37" s="132" t="s">
        <v>272</v>
      </c>
      <c r="B37" s="131">
        <f>'6.Cons Profit &amp; Loss'!B53</f>
        <v>1533493.9298832645</v>
      </c>
      <c r="C37" s="131">
        <f>'6.Cons Profit &amp; Loss'!C51</f>
        <v>2197492.8689659699</v>
      </c>
      <c r="D37" s="131">
        <f>'6.Cons Profit &amp; Loss'!D51</f>
        <v>3619367.5139275924</v>
      </c>
      <c r="E37" s="131">
        <f>'6.Cons Profit &amp; Loss'!E51</f>
        <v>5197084.1111102337</v>
      </c>
      <c r="F37" s="131">
        <f>'6.Cons Profit &amp; Loss'!F51</f>
        <v>6942504.8213234916</v>
      </c>
      <c r="G37" s="131">
        <f>'6.Cons Profit &amp; Loss'!G51</f>
        <v>8973330.0677528549</v>
      </c>
      <c r="H37" s="131">
        <f>'6.Cons Profit &amp; Loss'!H51</f>
        <v>10993910.595902566</v>
      </c>
    </row>
    <row r="38" spans="1:8">
      <c r="A38" s="132" t="s">
        <v>273</v>
      </c>
      <c r="B38" s="131"/>
      <c r="C38" s="131"/>
      <c r="D38" s="131"/>
      <c r="E38" s="131"/>
      <c r="F38" s="131"/>
      <c r="G38" s="131"/>
      <c r="H38" s="131"/>
    </row>
    <row r="39" spans="1:8">
      <c r="A39" s="132" t="s">
        <v>274</v>
      </c>
      <c r="B39" s="131">
        <f t="shared" ref="B39:H39" si="7">B36+B37-B38</f>
        <v>1533493.9298832645</v>
      </c>
      <c r="C39" s="131">
        <f t="shared" si="7"/>
        <v>3730986.7988492344</v>
      </c>
      <c r="D39" s="131">
        <f t="shared" si="7"/>
        <v>7350354.3127768263</v>
      </c>
      <c r="E39" s="131">
        <f t="shared" si="7"/>
        <v>12547438.423887059</v>
      </c>
      <c r="F39" s="131">
        <f t="shared" si="7"/>
        <v>19489943.245210551</v>
      </c>
      <c r="G39" s="131">
        <f t="shared" si="7"/>
        <v>28463273.312963404</v>
      </c>
      <c r="H39" s="131">
        <f t="shared" si="7"/>
        <v>39457183.908865973</v>
      </c>
    </row>
    <row r="40" spans="1:8">
      <c r="A40" s="132"/>
      <c r="B40" s="136"/>
      <c r="C40" s="136"/>
      <c r="D40" s="136"/>
      <c r="E40" s="136"/>
      <c r="F40" s="136"/>
      <c r="G40" s="136"/>
      <c r="H40" s="136"/>
    </row>
    <row r="41" spans="1:8">
      <c r="A41" s="139" t="s">
        <v>275</v>
      </c>
      <c r="B41" s="140">
        <f t="shared" ref="B41:H41" si="8">B33+B39+B34</f>
        <v>21576257.884988047</v>
      </c>
      <c r="C41" s="140">
        <f t="shared" si="8"/>
        <v>23773750.753954016</v>
      </c>
      <c r="D41" s="140">
        <f t="shared" si="8"/>
        <v>27393118.267881609</v>
      </c>
      <c r="E41" s="140">
        <f t="shared" si="8"/>
        <v>32590202.378991842</v>
      </c>
      <c r="F41" s="140">
        <f t="shared" si="8"/>
        <v>39532707.200315334</v>
      </c>
      <c r="G41" s="140">
        <f t="shared" si="8"/>
        <v>48506037.268068187</v>
      </c>
      <c r="H41" s="140">
        <f t="shared" si="8"/>
        <v>59499947.863970757</v>
      </c>
    </row>
    <row r="42" spans="1:8">
      <c r="A42" s="121"/>
      <c r="B42" s="131"/>
      <c r="C42" s="131"/>
      <c r="D42" s="131"/>
      <c r="E42" s="131"/>
      <c r="F42" s="131"/>
      <c r="G42" s="131"/>
      <c r="H42" s="131"/>
    </row>
    <row r="43" spans="1:8">
      <c r="A43" s="133" t="s">
        <v>276</v>
      </c>
      <c r="B43" s="134">
        <f t="shared" ref="B43:H43" si="9">B31+B41</f>
        <v>28614454.801349092</v>
      </c>
      <c r="C43" s="134">
        <f t="shared" si="9"/>
        <v>29401090.155899785</v>
      </c>
      <c r="D43" s="134">
        <f t="shared" si="9"/>
        <v>31398899.831287153</v>
      </c>
      <c r="E43" s="134">
        <f t="shared" si="9"/>
        <v>34732259.365772799</v>
      </c>
      <c r="F43" s="134">
        <f t="shared" si="9"/>
        <v>39532707.200315334</v>
      </c>
      <c r="G43" s="134">
        <f t="shared" si="9"/>
        <v>46044081.144203991</v>
      </c>
      <c r="H43" s="134">
        <f t="shared" si="9"/>
        <v>59499947.863970757</v>
      </c>
    </row>
    <row r="44" spans="1:8">
      <c r="A44" s="121"/>
      <c r="B44" s="141"/>
      <c r="C44" s="141"/>
      <c r="D44" s="141"/>
      <c r="E44" s="141"/>
      <c r="F44" s="141"/>
      <c r="G44" s="141"/>
      <c r="H44" s="141"/>
    </row>
    <row r="45" spans="1:8">
      <c r="A45" s="142" t="s">
        <v>277</v>
      </c>
      <c r="B45" s="143"/>
      <c r="C45" s="143"/>
      <c r="D45" s="143"/>
      <c r="E45" s="143"/>
      <c r="F45" s="143"/>
      <c r="G45" s="143"/>
      <c r="H45" s="143"/>
    </row>
    <row r="46" spans="1:8">
      <c r="A46" s="144" t="s">
        <v>278</v>
      </c>
      <c r="B46" s="145">
        <f t="shared" ref="B46:H46" si="10">B43-B20</f>
        <v>0</v>
      </c>
      <c r="C46" s="145">
        <f t="shared" si="10"/>
        <v>0</v>
      </c>
      <c r="D46" s="145">
        <f t="shared" si="10"/>
        <v>0</v>
      </c>
      <c r="E46" s="145">
        <f t="shared" si="10"/>
        <v>0</v>
      </c>
      <c r="F46" s="145">
        <f t="shared" si="10"/>
        <v>0</v>
      </c>
      <c r="G46" s="145">
        <f t="shared" si="10"/>
        <v>0</v>
      </c>
      <c r="H46" s="145">
        <f t="shared" si="10"/>
        <v>5291585.7710852474</v>
      </c>
    </row>
    <row r="47" spans="1:8">
      <c r="A47" s="144"/>
      <c r="B47" s="145"/>
      <c r="C47" s="145"/>
      <c r="D47" s="145"/>
      <c r="E47" s="145"/>
      <c r="F47" s="145"/>
      <c r="G47" s="145"/>
      <c r="H47" s="145"/>
    </row>
    <row r="48" spans="1:8" ht="15.75" thickBot="1">
      <c r="A48" s="146"/>
      <c r="B48" s="147"/>
      <c r="C48" s="147"/>
      <c r="D48" s="147"/>
      <c r="E48" s="147"/>
      <c r="F48" s="147"/>
      <c r="G48" s="147"/>
      <c r="H48" s="147"/>
    </row>
    <row r="49" spans="2:8">
      <c r="B49" s="56"/>
      <c r="C49" s="56"/>
      <c r="D49" s="56"/>
      <c r="E49" s="56"/>
      <c r="F49" s="56"/>
      <c r="G49" s="56"/>
      <c r="H49" s="56"/>
    </row>
    <row r="50" spans="2:8" ht="39.6" customHeight="1"/>
  </sheetData>
  <mergeCells count="2">
    <mergeCell ref="A1:F1"/>
    <mergeCell ref="A2:H2"/>
  </mergeCells>
  <conditionalFormatting sqref="B36:F38 B37:H37">
    <cfRule type="cellIs" dxfId="2" priority="3" operator="lessThan">
      <formula>0</formula>
    </cfRule>
  </conditionalFormatting>
  <conditionalFormatting sqref="G36:G38">
    <cfRule type="cellIs" dxfId="1" priority="2" operator="lessThan">
      <formula>0</formula>
    </cfRule>
  </conditionalFormatting>
  <conditionalFormatting sqref="H36:H38">
    <cfRule type="cellIs" dxfId="0" priority="1" operator="lessThan">
      <formula>0</formula>
    </cfRule>
  </conditionalFormatting>
  <pageMargins left="0.7" right="0.7" top="0.75" bottom="0.75" header="0.3" footer="0.3"/>
  <pageSetup scale="8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view="pageBreakPreview" zoomScale="80" zoomScaleSheetLayoutView="80" workbookViewId="0">
      <selection activeCell="F43" sqref="F43"/>
    </sheetView>
  </sheetViews>
  <sheetFormatPr defaultRowHeight="15"/>
  <cols>
    <col min="1" max="1" width="3.5703125" bestFit="1" customWidth="1"/>
    <col min="2" max="2" width="35.7109375" bestFit="1" customWidth="1"/>
    <col min="3" max="3" width="15.5703125" customWidth="1"/>
    <col min="4" max="4" width="15.7109375" customWidth="1"/>
    <col min="5" max="5" width="16.28515625" customWidth="1"/>
    <col min="6" max="6" width="18.28515625" customWidth="1"/>
    <col min="7" max="7" width="18.85546875" customWidth="1"/>
    <col min="8" max="8" width="17.42578125" customWidth="1"/>
    <col min="9" max="9" width="18.140625" customWidth="1"/>
  </cols>
  <sheetData>
    <row r="1" spans="1:10">
      <c r="A1" s="430"/>
      <c r="B1" s="430"/>
      <c r="C1" s="430"/>
      <c r="D1" s="430"/>
      <c r="E1" s="430"/>
      <c r="F1" s="430"/>
      <c r="G1" s="430"/>
    </row>
    <row r="2" spans="1:10" ht="18.75">
      <c r="A2" s="415" t="s">
        <v>575</v>
      </c>
      <c r="B2" s="415"/>
      <c r="C2" s="415"/>
      <c r="D2" s="415"/>
      <c r="E2" s="415"/>
      <c r="F2" s="415"/>
      <c r="G2" s="415"/>
      <c r="H2" s="415"/>
      <c r="I2" s="415"/>
      <c r="J2" s="84"/>
    </row>
    <row r="4" spans="1:10">
      <c r="A4" s="58" t="s">
        <v>234</v>
      </c>
      <c r="B4" s="58" t="s">
        <v>0</v>
      </c>
      <c r="C4" s="59" t="s">
        <v>2</v>
      </c>
      <c r="D4" s="59" t="s">
        <v>3</v>
      </c>
      <c r="E4" s="59" t="s">
        <v>4</v>
      </c>
      <c r="F4" s="59" t="s">
        <v>5</v>
      </c>
      <c r="G4" s="59" t="s">
        <v>6</v>
      </c>
      <c r="H4" s="59" t="s">
        <v>171</v>
      </c>
      <c r="I4" s="59" t="s">
        <v>170</v>
      </c>
    </row>
    <row r="5" spans="1:10">
      <c r="A5" s="40">
        <v>1</v>
      </c>
      <c r="B5" s="40" t="s">
        <v>7</v>
      </c>
      <c r="C5" s="41"/>
      <c r="D5" s="41"/>
      <c r="E5" s="41"/>
      <c r="F5" s="41"/>
      <c r="G5" s="41"/>
      <c r="H5" s="41"/>
      <c r="I5" s="41"/>
    </row>
    <row r="6" spans="1:10">
      <c r="A6" s="40"/>
      <c r="B6" s="42" t="s">
        <v>372</v>
      </c>
      <c r="C6" s="41">
        <f>'6.Cons Profit &amp; Loss'!B15</f>
        <v>49615228.061876997</v>
      </c>
      <c r="D6" s="41">
        <f>'6.Cons Profit &amp; Loss'!C15</f>
        <v>66007961.32073772</v>
      </c>
      <c r="E6" s="41">
        <f>'6.Cons Profit &amp; Loss'!D15</f>
        <v>83014315.638421342</v>
      </c>
      <c r="F6" s="41">
        <f>'6.Cons Profit &amp; Loss'!E15</f>
        <v>101556285.4845715</v>
      </c>
      <c r="G6" s="41">
        <f>'6.Cons Profit &amp; Loss'!F15</f>
        <v>121744916.52624063</v>
      </c>
      <c r="H6" s="41">
        <f>'6.Cons Profit &amp; Loss'!G15</f>
        <v>143574465.39049023</v>
      </c>
      <c r="I6" s="41">
        <f>'6.Cons Profit &amp; Loss'!H15</f>
        <v>167282606.84984919</v>
      </c>
    </row>
    <row r="7" spans="1:10">
      <c r="A7" s="40">
        <v>2</v>
      </c>
      <c r="B7" s="40" t="s">
        <v>235</v>
      </c>
      <c r="C7" s="41">
        <f>'1.Project Cost and MOF'!E21</f>
        <v>3901137.3671047837</v>
      </c>
      <c r="D7" s="41"/>
      <c r="E7" s="41"/>
      <c r="F7" s="41"/>
      <c r="G7" s="41"/>
      <c r="H7" s="41"/>
      <c r="I7" s="41"/>
    </row>
    <row r="8" spans="1:10">
      <c r="A8" s="40"/>
      <c r="B8" s="40" t="s">
        <v>296</v>
      </c>
      <c r="C8" s="41"/>
      <c r="D8" s="41"/>
      <c r="E8" s="41"/>
      <c r="F8" s="41"/>
      <c r="G8" s="41"/>
      <c r="H8" s="41"/>
      <c r="I8" s="41"/>
    </row>
    <row r="9" spans="1:10">
      <c r="A9" s="40">
        <v>3</v>
      </c>
      <c r="B9" s="40" t="str">
        <f>'7.Balance Sheet'!A34</f>
        <v>Smart Grant -in-Aid</v>
      </c>
      <c r="C9" s="41">
        <f>'1.Project Cost and MOF'!E19</f>
        <v>16141626.588</v>
      </c>
      <c r="D9" s="41"/>
      <c r="E9" s="41"/>
      <c r="F9" s="41"/>
      <c r="G9" s="41"/>
      <c r="H9" s="41"/>
      <c r="I9" s="41"/>
    </row>
    <row r="10" spans="1:10">
      <c r="A10" s="40">
        <v>4</v>
      </c>
      <c r="B10" s="40" t="s">
        <v>236</v>
      </c>
      <c r="C10" s="41">
        <f>'1.Project Cost and MOF'!E20</f>
        <v>7673313.2939999998</v>
      </c>
      <c r="D10" s="41"/>
      <c r="E10" s="41"/>
      <c r="F10" s="41"/>
      <c r="G10" s="41"/>
      <c r="H10" s="41"/>
      <c r="I10" s="41"/>
    </row>
    <row r="11" spans="1:10">
      <c r="A11" s="40">
        <v>5</v>
      </c>
      <c r="B11" s="40" t="s">
        <v>237</v>
      </c>
      <c r="C11" s="41">
        <f>'5.Closing Stock &amp; W Capital'!E55*75%</f>
        <v>2440098.8073143475</v>
      </c>
      <c r="D11" s="41">
        <f>'5.Closing Stock &amp; W Capital'!F55</f>
        <v>4265774.1377345258</v>
      </c>
      <c r="E11" s="41">
        <f>'5.Closing Stock &amp; W Capital'!G55</f>
        <v>5368976.6370796226</v>
      </c>
      <c r="F11" s="41">
        <f>'5.Closing Stock &amp; W Capital'!H55</f>
        <v>6571831.6619373038</v>
      </c>
      <c r="G11" s="41">
        <f>'5.Closing Stock &amp; W Capital'!I55</f>
        <v>7881549.747688055</v>
      </c>
      <c r="H11" s="41">
        <f>'5.Closing Stock &amp; W Capital'!J55</f>
        <v>9301051.8054610901</v>
      </c>
      <c r="I11" s="41">
        <f>'5.Closing Stock &amp; W Capital'!K55</f>
        <v>10842800.194642209</v>
      </c>
    </row>
    <row r="12" spans="1:10">
      <c r="A12" s="40"/>
      <c r="B12" s="40" t="s">
        <v>238</v>
      </c>
      <c r="C12" s="43">
        <f t="shared" ref="C12:I12" si="0">SUM(C6:C11)</f>
        <v>79771404.118296131</v>
      </c>
      <c r="D12" s="43">
        <f t="shared" si="0"/>
        <v>70273735.458472252</v>
      </c>
      <c r="E12" s="43">
        <f t="shared" si="0"/>
        <v>88383292.275500968</v>
      </c>
      <c r="F12" s="43">
        <f t="shared" si="0"/>
        <v>108128117.14650881</v>
      </c>
      <c r="G12" s="43">
        <f t="shared" si="0"/>
        <v>129626466.27392869</v>
      </c>
      <c r="H12" s="43">
        <f t="shared" si="0"/>
        <v>152875517.19595131</v>
      </c>
      <c r="I12" s="43">
        <f t="shared" si="0"/>
        <v>178125407.04449141</v>
      </c>
    </row>
    <row r="13" spans="1:10">
      <c r="A13" s="448" t="s">
        <v>239</v>
      </c>
      <c r="B13" s="448"/>
      <c r="C13" s="44"/>
      <c r="D13" s="44"/>
      <c r="E13" s="44"/>
      <c r="F13" s="44"/>
      <c r="G13" s="44"/>
      <c r="H13" s="44"/>
      <c r="I13" s="44"/>
    </row>
    <row r="14" spans="1:10">
      <c r="A14" s="40">
        <v>1</v>
      </c>
      <c r="B14" s="40" t="s">
        <v>240</v>
      </c>
      <c r="C14" s="44"/>
      <c r="D14" s="44"/>
      <c r="E14" s="44"/>
      <c r="F14" s="44"/>
      <c r="G14" s="44"/>
      <c r="H14" s="44"/>
      <c r="I14" s="44"/>
    </row>
    <row r="15" spans="1:10">
      <c r="A15" s="45" t="s">
        <v>241</v>
      </c>
      <c r="B15" s="44" t="str">
        <f>'[1]Total Cost of Project'!C3</f>
        <v>Land and Building</v>
      </c>
      <c r="C15" s="46">
        <f>'1.Project Cost and MOF'!D5</f>
        <v>21653053</v>
      </c>
      <c r="D15" s="46"/>
      <c r="E15" s="46"/>
      <c r="F15" s="46"/>
      <c r="G15" s="46"/>
      <c r="H15" s="46"/>
      <c r="I15" s="46"/>
    </row>
    <row r="16" spans="1:10">
      <c r="A16" s="45" t="s">
        <v>242</v>
      </c>
      <c r="B16" s="47" t="str">
        <f>'[1]Total Cost of Project'!C4</f>
        <v>Machinery and Equipment</v>
      </c>
      <c r="C16" s="46">
        <f>'1.Project Cost and MOF'!D6</f>
        <v>3323300</v>
      </c>
      <c r="D16" s="46"/>
      <c r="E16" s="46"/>
      <c r="F16" s="46"/>
      <c r="G16" s="46"/>
      <c r="H16" s="46"/>
      <c r="I16" s="46"/>
    </row>
    <row r="17" spans="1:9">
      <c r="A17" s="45" t="s">
        <v>279</v>
      </c>
      <c r="B17" s="47" t="s">
        <v>337</v>
      </c>
      <c r="C17" s="46">
        <f>'1.Project Cost and MOF'!D7</f>
        <v>601357.98</v>
      </c>
      <c r="D17" s="46"/>
      <c r="E17" s="46"/>
      <c r="F17" s="46"/>
      <c r="G17" s="46"/>
      <c r="H17" s="46"/>
      <c r="I17" s="46"/>
    </row>
    <row r="18" spans="1:9">
      <c r="A18" s="45" t="s">
        <v>281</v>
      </c>
      <c r="B18" s="47" t="s">
        <v>339</v>
      </c>
      <c r="C18" s="46">
        <f>'1.Project Cost and MOF'!D8</f>
        <v>0</v>
      </c>
      <c r="D18" s="46"/>
      <c r="E18" s="46"/>
      <c r="F18" s="46"/>
      <c r="G18" s="46"/>
      <c r="H18" s="46"/>
      <c r="I18" s="46"/>
    </row>
    <row r="19" spans="1:9">
      <c r="A19" s="45" t="s">
        <v>340</v>
      </c>
      <c r="B19" s="47" t="s">
        <v>280</v>
      </c>
      <c r="C19" s="46">
        <f>'1.Project Cost and MOF'!D9</f>
        <v>0</v>
      </c>
      <c r="D19" s="41"/>
      <c r="E19" s="41"/>
      <c r="F19" s="41"/>
      <c r="G19" s="41"/>
      <c r="H19" s="41"/>
      <c r="I19" s="41"/>
    </row>
    <row r="20" spans="1:9">
      <c r="A20" s="45" t="s">
        <v>341</v>
      </c>
      <c r="B20" s="47" t="s">
        <v>282</v>
      </c>
      <c r="C20" s="46">
        <f>'1.Project Cost and MOF'!D10</f>
        <v>1325000</v>
      </c>
      <c r="D20" s="41"/>
      <c r="E20" s="41"/>
      <c r="F20" s="41"/>
      <c r="G20" s="41"/>
      <c r="H20" s="41"/>
      <c r="I20" s="41"/>
    </row>
    <row r="21" spans="1:9">
      <c r="A21" s="40">
        <v>2</v>
      </c>
      <c r="B21" s="40" t="s">
        <v>243</v>
      </c>
      <c r="C21" s="44"/>
      <c r="D21" s="44"/>
      <c r="E21" s="44"/>
      <c r="F21" s="44"/>
      <c r="G21" s="44"/>
      <c r="H21" s="44"/>
      <c r="I21" s="44"/>
    </row>
    <row r="22" spans="1:9">
      <c r="A22" s="45" t="s">
        <v>241</v>
      </c>
      <c r="B22" s="44" t="s">
        <v>316</v>
      </c>
      <c r="C22" s="73">
        <f>'6.Cons Profit &amp; Loss'!B25</f>
        <v>42119884.007655323</v>
      </c>
      <c r="D22" s="73">
        <f>'6.Cons Profit &amp; Loss'!C25</f>
        <v>57277015.487484664</v>
      </c>
      <c r="E22" s="73">
        <f>'6.Cons Profit &amp; Loss'!D25</f>
        <v>72165187.321392328</v>
      </c>
      <c r="F22" s="73">
        <f>'6.Cons Profit &amp; Loss'!E25</f>
        <v>88399155.30187498</v>
      </c>
      <c r="G22" s="73">
        <f>'6.Cons Profit &amp; Loss'!F25</f>
        <v>106076107.11210245</v>
      </c>
      <c r="H22" s="73">
        <f>'6.Cons Profit &amp; Loss'!G25</f>
        <v>125299756.21509798</v>
      </c>
      <c r="I22" s="73">
        <f>'6.Cons Profit &amp; Loss'!H25</f>
        <v>146180579.96061283</v>
      </c>
    </row>
    <row r="23" spans="1:9">
      <c r="A23" s="45" t="s">
        <v>242</v>
      </c>
      <c r="B23" s="44" t="s">
        <v>314</v>
      </c>
      <c r="C23" s="41">
        <f>'6.Cons Profit &amp; Loss'!B36</f>
        <v>3473200</v>
      </c>
      <c r="D23" s="41">
        <f>'6.Cons Profit &amp; Loss'!C36</f>
        <v>3646860</v>
      </c>
      <c r="E23" s="41">
        <f>'6.Cons Profit &amp; Loss'!D36</f>
        <v>3829203</v>
      </c>
      <c r="F23" s="41">
        <f>'6.Cons Profit &amp; Loss'!E36</f>
        <v>4020663.1500000004</v>
      </c>
      <c r="G23" s="41">
        <f>'6.Cons Profit &amp; Loss'!F36</f>
        <v>4221696.3075000001</v>
      </c>
      <c r="H23" s="41">
        <f>'6.Cons Profit &amp; Loss'!G36</f>
        <v>4432781.1228750004</v>
      </c>
      <c r="I23" s="41">
        <f>'6.Cons Profit &amp; Loss'!H36</f>
        <v>4654420.1790187517</v>
      </c>
    </row>
    <row r="24" spans="1:9">
      <c r="A24" s="48">
        <v>3</v>
      </c>
      <c r="B24" s="40" t="s">
        <v>521</v>
      </c>
      <c r="C24" s="41"/>
      <c r="D24" s="41"/>
      <c r="E24" s="41"/>
      <c r="F24" s="41"/>
      <c r="G24" s="41"/>
      <c r="H24" s="41"/>
      <c r="I24" s="41"/>
    </row>
    <row r="25" spans="1:9">
      <c r="A25" s="45"/>
      <c r="B25" s="44" t="s">
        <v>244</v>
      </c>
      <c r="C25" s="41">
        <f>SUM('4.TL repayment sch'!E10:E21)</f>
        <v>635116.37763895269</v>
      </c>
      <c r="D25" s="41">
        <f>SUM('4.TL repayment sch'!E22:E33)</f>
        <v>1410857.5144152776</v>
      </c>
      <c r="E25" s="41">
        <f>SUM('4.TL repayment sch'!E34:E45)</f>
        <v>1621557.8385402213</v>
      </c>
      <c r="F25" s="41">
        <f>SUM('4.TL repayment sch'!E46:E57)</f>
        <v>1863724.5766245902</v>
      </c>
      <c r="G25" s="41">
        <f>SUM('4.TL repayment sch'!E58:E69)</f>
        <v>2142056.9867809559</v>
      </c>
      <c r="H25" s="41">
        <f>SUM('4.TL repayment sch'!E70:E81)</f>
        <v>2461956.123864192</v>
      </c>
      <c r="I25" s="41">
        <f>SUM('4.TL repayment sch'!E82:E93)</f>
        <v>2829629.6472210581</v>
      </c>
    </row>
    <row r="26" spans="1:9">
      <c r="A26" s="45"/>
      <c r="B26" s="44" t="s">
        <v>245</v>
      </c>
      <c r="C26" s="41">
        <f>SUM('4.TL repayment sch'!D10:D21)</f>
        <v>1055990.2885557578</v>
      </c>
      <c r="D26" s="41">
        <f>SUM('4.TL repayment sch'!D22:D33)</f>
        <v>897091.95681414288</v>
      </c>
      <c r="E26" s="41">
        <f>SUM('4.TL repayment sch'!D34:D45)</f>
        <v>686391.63268919941</v>
      </c>
      <c r="F26" s="41">
        <f>SUM('4.TL repayment sch'!D46:D57)</f>
        <v>444224.89460483094</v>
      </c>
      <c r="G26" s="41">
        <f>SUM('4.TL repayment sch'!D58:D69)</f>
        <v>165892.48444846502</v>
      </c>
      <c r="H26" s="41">
        <f>SUM('4.TL repayment sch'!D70:D81)</f>
        <v>-154006.65263477137</v>
      </c>
      <c r="I26" s="41">
        <f>SUM('4.TL repayment sch'!D82:D93)</f>
        <v>-521680.17599163693</v>
      </c>
    </row>
    <row r="27" spans="1:9">
      <c r="A27" s="45"/>
      <c r="B27" s="44" t="s">
        <v>246</v>
      </c>
      <c r="C27" s="41">
        <f t="shared" ref="C27:I27" si="1">C11</f>
        <v>2440098.8073143475</v>
      </c>
      <c r="D27" s="41">
        <f t="shared" si="1"/>
        <v>4265774.1377345258</v>
      </c>
      <c r="E27" s="41">
        <f t="shared" si="1"/>
        <v>5368976.6370796226</v>
      </c>
      <c r="F27" s="41">
        <f t="shared" si="1"/>
        <v>6571831.6619373038</v>
      </c>
      <c r="G27" s="41">
        <f t="shared" si="1"/>
        <v>7881549.747688055</v>
      </c>
      <c r="H27" s="41">
        <f t="shared" si="1"/>
        <v>9301051.8054610901</v>
      </c>
      <c r="I27" s="41">
        <f t="shared" si="1"/>
        <v>10842800.194642209</v>
      </c>
    </row>
    <row r="28" spans="1:9">
      <c r="A28" s="45"/>
      <c r="B28" s="44" t="s">
        <v>247</v>
      </c>
      <c r="C28" s="49">
        <f>C27*12%</f>
        <v>292811.85687772167</v>
      </c>
      <c r="D28" s="49">
        <f t="shared" ref="D28:G28" si="2">D27*12%</f>
        <v>511892.89652814309</v>
      </c>
      <c r="E28" s="49">
        <f t="shared" si="2"/>
        <v>644277.19644955464</v>
      </c>
      <c r="F28" s="49">
        <f t="shared" si="2"/>
        <v>788619.7994324764</v>
      </c>
      <c r="G28" s="49">
        <f t="shared" si="2"/>
        <v>945785.96972256654</v>
      </c>
      <c r="H28" s="49">
        <f t="shared" ref="H28:I28" si="3">H27*12%</f>
        <v>1116126.2166553307</v>
      </c>
      <c r="I28" s="49">
        <f t="shared" si="3"/>
        <v>1301136.0233570649</v>
      </c>
    </row>
    <row r="29" spans="1:9">
      <c r="A29" s="40">
        <v>4</v>
      </c>
      <c r="B29" s="40" t="s">
        <v>248</v>
      </c>
      <c r="C29" s="41">
        <f>'6.Cons Profit &amp; Loss'!B50</f>
        <v>-82054.4891950694</v>
      </c>
      <c r="D29" s="41">
        <f>'6.Cons Profit &amp; Loss'!C50</f>
        <v>255705.64284480008</v>
      </c>
      <c r="E29" s="41">
        <f>'6.Cons Profit &amp; Loss'!D50</f>
        <v>847986.50586266769</v>
      </c>
      <c r="F29" s="41">
        <f>'6.Cons Profit &amp; Loss'!E50</f>
        <v>1484635.7594489742</v>
      </c>
      <c r="G29" s="41">
        <f>'6.Cons Profit &amp; Loss'!F50</f>
        <v>2171027.3630436552</v>
      </c>
      <c r="H29" s="41">
        <f>'6.Cons Profit &amp; Loss'!G50</f>
        <v>2949575.9526438355</v>
      </c>
      <c r="I29" s="41">
        <f>'6.Cons Profit &amp; Loss'!H50</f>
        <v>3717337.7988496008</v>
      </c>
    </row>
    <row r="30" spans="1:9">
      <c r="A30" s="40"/>
      <c r="B30" s="40" t="s">
        <v>249</v>
      </c>
      <c r="C30" s="50">
        <f t="shared" ref="C30:I30" si="4">SUM(C15:C29)</f>
        <v>76837757.828847036</v>
      </c>
      <c r="D30" s="50">
        <f t="shared" si="4"/>
        <v>68265197.635821551</v>
      </c>
      <c r="E30" s="50">
        <f t="shared" si="4"/>
        <v>85163580.132013589</v>
      </c>
      <c r="F30" s="50">
        <f t="shared" si="4"/>
        <v>103572855.14392315</v>
      </c>
      <c r="G30" s="50">
        <f t="shared" si="4"/>
        <v>123604115.97128615</v>
      </c>
      <c r="H30" s="50">
        <f t="shared" si="4"/>
        <v>145407240.78396267</v>
      </c>
      <c r="I30" s="50">
        <f t="shared" si="4"/>
        <v>169004223.62770993</v>
      </c>
    </row>
    <row r="31" spans="1:9">
      <c r="A31" s="40"/>
      <c r="B31" s="40" t="s">
        <v>250</v>
      </c>
      <c r="C31" s="50">
        <f t="shared" ref="C31:I31" si="5">C12-C30</f>
        <v>2933646.2894490957</v>
      </c>
      <c r="D31" s="50">
        <f t="shared" si="5"/>
        <v>2008537.8226507008</v>
      </c>
      <c r="E31" s="50">
        <f t="shared" si="5"/>
        <v>3219712.143487379</v>
      </c>
      <c r="F31" s="50">
        <f t="shared" si="5"/>
        <v>4555262.0025856644</v>
      </c>
      <c r="G31" s="50">
        <f t="shared" si="5"/>
        <v>6022350.3026425391</v>
      </c>
      <c r="H31" s="50">
        <f t="shared" si="5"/>
        <v>7468276.4119886458</v>
      </c>
      <c r="I31" s="50">
        <f t="shared" si="5"/>
        <v>9121183.4167814851</v>
      </c>
    </row>
    <row r="32" spans="1:9">
      <c r="A32" s="48"/>
      <c r="B32" s="44" t="s">
        <v>251</v>
      </c>
      <c r="C32" s="44"/>
      <c r="D32" s="51">
        <f t="shared" ref="D32:I32" si="6">C33</f>
        <v>2933646.2894490957</v>
      </c>
      <c r="E32" s="51">
        <f t="shared" si="6"/>
        <v>4942184.1120997965</v>
      </c>
      <c r="F32" s="51">
        <f t="shared" si="6"/>
        <v>8161896.2555871755</v>
      </c>
      <c r="G32" s="51">
        <f t="shared" si="6"/>
        <v>12717158.25817284</v>
      </c>
      <c r="H32" s="51">
        <f t="shared" si="6"/>
        <v>18739508.560815379</v>
      </c>
      <c r="I32" s="51">
        <f t="shared" si="6"/>
        <v>26207784.972804025</v>
      </c>
    </row>
    <row r="33" spans="1:10">
      <c r="A33" s="40"/>
      <c r="B33" s="52" t="s">
        <v>252</v>
      </c>
      <c r="C33" s="50">
        <f t="shared" ref="C33:I33" si="7">C31+C32</f>
        <v>2933646.2894490957</v>
      </c>
      <c r="D33" s="50">
        <f t="shared" si="7"/>
        <v>4942184.1120997965</v>
      </c>
      <c r="E33" s="50">
        <f t="shared" si="7"/>
        <v>8161896.2555871755</v>
      </c>
      <c r="F33" s="50">
        <f t="shared" si="7"/>
        <v>12717158.25817284</v>
      </c>
      <c r="G33" s="50">
        <f t="shared" si="7"/>
        <v>18739508.560815379</v>
      </c>
      <c r="H33" s="50">
        <f t="shared" si="7"/>
        <v>26207784.972804025</v>
      </c>
      <c r="I33" s="50">
        <f t="shared" si="7"/>
        <v>35328968.38958551</v>
      </c>
    </row>
    <row r="35" spans="1:10" ht="39.950000000000003" customHeight="1">
      <c r="A35" s="449" t="s">
        <v>419</v>
      </c>
      <c r="B35" s="449"/>
      <c r="C35" s="449"/>
      <c r="D35" s="449"/>
      <c r="E35" s="449"/>
      <c r="F35" s="449"/>
      <c r="G35" s="449"/>
      <c r="H35" s="449"/>
      <c r="I35" s="449"/>
      <c r="J35" s="449"/>
    </row>
    <row r="37" spans="1:10">
      <c r="C37" s="67"/>
    </row>
    <row r="38" spans="1:10">
      <c r="C38" s="67"/>
    </row>
    <row r="39" spans="1:10">
      <c r="C39" s="67"/>
    </row>
    <row r="40" spans="1:10">
      <c r="C40" s="67"/>
    </row>
    <row r="41" spans="1:10">
      <c r="C41" s="67"/>
    </row>
  </sheetData>
  <mergeCells count="4">
    <mergeCell ref="A1:G1"/>
    <mergeCell ref="A13:B13"/>
    <mergeCell ref="A2:I2"/>
    <mergeCell ref="A35:J35"/>
  </mergeCells>
  <pageMargins left="0.7" right="0.7" top="0.75" bottom="0.75" header="0.3" footer="0.3"/>
  <pageSetup scale="7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S184"/>
  <sheetViews>
    <sheetView tabSelected="1" view="pageBreakPreview" topLeftCell="A13" zoomScale="55" zoomScaleSheetLayoutView="55" workbookViewId="0">
      <selection activeCell="B32" sqref="B32:B37"/>
    </sheetView>
  </sheetViews>
  <sheetFormatPr defaultRowHeight="15"/>
  <cols>
    <col min="2" max="2" width="32.7109375" bestFit="1" customWidth="1"/>
    <col min="3" max="4" width="18.42578125" customWidth="1"/>
    <col min="5" max="5" width="16.85546875" customWidth="1"/>
    <col min="6" max="6" width="16.5703125" customWidth="1"/>
    <col min="7" max="7" width="17.140625" customWidth="1"/>
    <col min="8" max="8" width="17.42578125" customWidth="1"/>
    <col min="9" max="9" width="19.28515625" customWidth="1"/>
    <col min="10" max="10" width="14.85546875" customWidth="1"/>
    <col min="11" max="11" width="14.42578125" customWidth="1"/>
    <col min="12" max="12" width="14.85546875" bestFit="1" customWidth="1"/>
    <col min="13" max="18" width="11.85546875" bestFit="1" customWidth="1"/>
    <col min="19" max="19" width="4.5703125" bestFit="1" customWidth="1"/>
  </cols>
  <sheetData>
    <row r="5" spans="2:12" ht="18.75">
      <c r="B5" s="459" t="s">
        <v>576</v>
      </c>
      <c r="C5" s="459"/>
      <c r="D5" s="459"/>
      <c r="E5" s="459"/>
      <c r="F5" s="459"/>
      <c r="G5" s="459"/>
      <c r="H5" s="459"/>
      <c r="I5" s="459"/>
      <c r="J5" s="459"/>
    </row>
    <row r="6" spans="2:12" ht="16.5">
      <c r="B6" s="8"/>
      <c r="C6" s="8"/>
      <c r="D6" s="8"/>
      <c r="E6" s="8"/>
      <c r="F6" s="8"/>
      <c r="G6" s="8"/>
      <c r="H6" s="8"/>
      <c r="I6" s="8"/>
      <c r="J6" s="8"/>
    </row>
    <row r="7" spans="2:12" ht="15.75">
      <c r="B7" s="86" t="s">
        <v>29</v>
      </c>
      <c r="C7" s="87" t="s">
        <v>342</v>
      </c>
      <c r="D7" s="87" t="s">
        <v>2</v>
      </c>
      <c r="E7" s="87" t="s">
        <v>3</v>
      </c>
      <c r="F7" s="87" t="s">
        <v>4</v>
      </c>
      <c r="G7" s="87" t="s">
        <v>5</v>
      </c>
      <c r="H7" s="87" t="s">
        <v>6</v>
      </c>
      <c r="I7" s="87" t="s">
        <v>171</v>
      </c>
      <c r="J7" s="87" t="s">
        <v>170</v>
      </c>
      <c r="L7" s="382"/>
    </row>
    <row r="8" spans="2:12">
      <c r="B8" s="88"/>
      <c r="C8" s="88"/>
      <c r="D8" s="88"/>
      <c r="E8" s="88"/>
      <c r="F8" s="88"/>
      <c r="G8" s="88"/>
      <c r="H8" s="88"/>
      <c r="I8" s="88"/>
      <c r="J8" s="88"/>
    </row>
    <row r="9" spans="2:12">
      <c r="B9" s="88" t="s">
        <v>30</v>
      </c>
      <c r="C9" s="88"/>
      <c r="D9" s="89">
        <f>'6.Cons Profit &amp; Loss'!B51</f>
        <v>1533493.9298832645</v>
      </c>
      <c r="E9" s="89">
        <f>'6.Cons Profit &amp; Loss'!C51</f>
        <v>2197492.8689659699</v>
      </c>
      <c r="F9" s="89">
        <f>'6.Cons Profit &amp; Loss'!D51</f>
        <v>3619367.5139275924</v>
      </c>
      <c r="G9" s="89">
        <f>'6.Cons Profit &amp; Loss'!E51</f>
        <v>5197084.1111102337</v>
      </c>
      <c r="H9" s="89">
        <f>'6.Cons Profit &amp; Loss'!F51</f>
        <v>6942504.8213234916</v>
      </c>
      <c r="I9" s="89">
        <f>'6.Cons Profit &amp; Loss'!G51</f>
        <v>8973330.0677528549</v>
      </c>
      <c r="J9" s="89">
        <f>'6.Cons Profit &amp; Loss'!H51</f>
        <v>10993910.595902566</v>
      </c>
    </row>
    <row r="10" spans="2:12">
      <c r="B10" s="88"/>
      <c r="C10" s="88"/>
      <c r="D10" s="89"/>
      <c r="E10" s="89"/>
      <c r="F10" s="89"/>
      <c r="G10" s="89"/>
      <c r="H10" s="89"/>
      <c r="I10" s="89"/>
      <c r="J10" s="89"/>
    </row>
    <row r="11" spans="2:12">
      <c r="B11" s="90" t="s">
        <v>31</v>
      </c>
      <c r="C11" s="90"/>
      <c r="D11" s="89">
        <f>'6.Cons Profit &amp; Loss'!B42</f>
        <v>956902.46809999994</v>
      </c>
      <c r="E11" s="89">
        <f>'6.Cons Profit &amp; Loss'!C42</f>
        <v>956902.46809999994</v>
      </c>
      <c r="F11" s="89">
        <f>'6.Cons Profit &amp; Loss'!D42</f>
        <v>956902.46809999994</v>
      </c>
      <c r="G11" s="89">
        <f>'6.Cons Profit &amp; Loss'!E42</f>
        <v>956902.46809999994</v>
      </c>
      <c r="H11" s="89">
        <f>'6.Cons Profit &amp; Loss'!F42</f>
        <v>956902.46809999994</v>
      </c>
      <c r="I11" s="89">
        <f>'6.Cons Profit &amp; Loss'!G42</f>
        <v>956902.46809999994</v>
      </c>
      <c r="J11" s="89">
        <f>'6.Cons Profit &amp; Loss'!H42</f>
        <v>956902.46809999994</v>
      </c>
    </row>
    <row r="12" spans="2:12">
      <c r="B12" s="88" t="s">
        <v>36</v>
      </c>
      <c r="C12" s="88"/>
      <c r="D12" s="89">
        <f>'6.Cons Profit &amp; Loss'!B43</f>
        <v>265000</v>
      </c>
      <c r="E12" s="89">
        <f>'6.Cons Profit &amp; Loss'!C43</f>
        <v>265000</v>
      </c>
      <c r="F12" s="89">
        <f>'6.Cons Profit &amp; Loss'!D43</f>
        <v>265000</v>
      </c>
      <c r="G12" s="89">
        <f>'6.Cons Profit &amp; Loss'!E43</f>
        <v>265000</v>
      </c>
      <c r="H12" s="89">
        <f>'6.Cons Profit &amp; Loss'!F43</f>
        <v>265000</v>
      </c>
      <c r="I12" s="89">
        <f>'6.Cons Profit &amp; Loss'!G43</f>
        <v>0</v>
      </c>
      <c r="J12" s="89">
        <f>'6.Cons Profit &amp; Loss'!H43</f>
        <v>0</v>
      </c>
    </row>
    <row r="13" spans="2:12">
      <c r="B13" s="88"/>
      <c r="C13" s="88"/>
      <c r="D13" s="88"/>
      <c r="E13" s="88"/>
      <c r="F13" s="88"/>
      <c r="G13" s="88"/>
      <c r="H13" s="88"/>
      <c r="I13" s="88"/>
      <c r="J13" s="88"/>
    </row>
    <row r="14" spans="2:12">
      <c r="B14" s="88" t="s">
        <v>32</v>
      </c>
      <c r="C14" s="88"/>
      <c r="D14" s="89">
        <f>SUM(D9:D12)</f>
        <v>2755396.3979832642</v>
      </c>
      <c r="E14" s="89">
        <f t="shared" ref="E14:J14" si="0">SUM(E9:E12)</f>
        <v>3419395.3370659696</v>
      </c>
      <c r="F14" s="89">
        <f t="shared" si="0"/>
        <v>4841269.9820275921</v>
      </c>
      <c r="G14" s="89">
        <f t="shared" si="0"/>
        <v>6418986.5792102339</v>
      </c>
      <c r="H14" s="89">
        <f t="shared" si="0"/>
        <v>8164407.2894234918</v>
      </c>
      <c r="I14" s="89">
        <f t="shared" si="0"/>
        <v>9930232.5358528551</v>
      </c>
      <c r="J14" s="89">
        <f t="shared" si="0"/>
        <v>11950813.064002566</v>
      </c>
    </row>
    <row r="15" spans="2:12">
      <c r="B15" s="88" t="s">
        <v>351</v>
      </c>
      <c r="C15" s="91">
        <f>-'1.Project Cost and MOF'!D12</f>
        <v>-27716077.249104783</v>
      </c>
      <c r="D15" s="89">
        <f>D14</f>
        <v>2755396.3979832642</v>
      </c>
      <c r="E15" s="89">
        <f t="shared" ref="E15:J15" si="1">E14</f>
        <v>3419395.3370659696</v>
      </c>
      <c r="F15" s="89">
        <f t="shared" si="1"/>
        <v>4841269.9820275921</v>
      </c>
      <c r="G15" s="89">
        <f t="shared" si="1"/>
        <v>6418986.5792102339</v>
      </c>
      <c r="H15" s="89">
        <f t="shared" si="1"/>
        <v>8164407.2894234918</v>
      </c>
      <c r="I15" s="89">
        <f t="shared" si="1"/>
        <v>9930232.5358528551</v>
      </c>
      <c r="J15" s="89">
        <f t="shared" si="1"/>
        <v>11950813.064002566</v>
      </c>
    </row>
    <row r="16" spans="2:12">
      <c r="B16" s="88" t="s">
        <v>284</v>
      </c>
      <c r="C16" s="272">
        <f>IRR(C15:J15)</f>
        <v>0.12057922427136014</v>
      </c>
      <c r="D16" s="89"/>
      <c r="E16" s="89"/>
      <c r="F16" s="89"/>
      <c r="G16" s="89"/>
      <c r="H16" s="89"/>
      <c r="I16" s="89"/>
      <c r="J16" s="89"/>
    </row>
    <row r="17" spans="2:19">
      <c r="B17" s="88"/>
      <c r="C17" s="88"/>
      <c r="D17" s="88"/>
      <c r="E17" s="88"/>
      <c r="F17" s="88"/>
      <c r="G17" s="88"/>
      <c r="H17" s="88"/>
      <c r="I17" s="88"/>
      <c r="J17" s="88"/>
    </row>
    <row r="18" spans="2:19" ht="16.5">
      <c r="B18" s="273" t="s">
        <v>417</v>
      </c>
      <c r="C18" s="273"/>
      <c r="D18" s="274">
        <f>1/(1+$C$16)</f>
        <v>0.89239562749366075</v>
      </c>
      <c r="E18" s="275">
        <f t="shared" ref="E18:J18" si="2">D18/(1+$C$16)</f>
        <v>0.79636995596980453</v>
      </c>
      <c r="F18" s="275">
        <f t="shared" si="2"/>
        <v>0.7106770665747727</v>
      </c>
      <c r="G18" s="275">
        <f t="shared" si="2"/>
        <v>0.63420510677134834</v>
      </c>
      <c r="H18" s="275">
        <f t="shared" si="2"/>
        <v>0.56596186421690153</v>
      </c>
      <c r="I18" s="275">
        <f t="shared" si="2"/>
        <v>0.50506189295532389</v>
      </c>
      <c r="J18" s="275">
        <f t="shared" si="2"/>
        <v>0.45071502488700238</v>
      </c>
      <c r="L18" s="17"/>
      <c r="M18" s="17"/>
      <c r="N18" s="17"/>
      <c r="O18" s="17"/>
      <c r="P18" s="17"/>
      <c r="Q18" s="17"/>
      <c r="R18" s="17"/>
      <c r="S18" s="17"/>
    </row>
    <row r="19" spans="2:19">
      <c r="B19" s="88" t="s">
        <v>33</v>
      </c>
      <c r="C19" s="88"/>
      <c r="D19" s="89">
        <f t="shared" ref="D19:J19" si="3">D14*D18</f>
        <v>2458903.6975720478</v>
      </c>
      <c r="E19" s="89">
        <f t="shared" si="3"/>
        <v>2723103.714022581</v>
      </c>
      <c r="F19" s="89">
        <f t="shared" si="3"/>
        <v>3440579.5493238717</v>
      </c>
      <c r="G19" s="89">
        <f t="shared" si="3"/>
        <v>4070954.0688318782</v>
      </c>
      <c r="H19" s="89">
        <f t="shared" si="3"/>
        <v>4620743.1697481796</v>
      </c>
      <c r="I19" s="89">
        <f t="shared" si="3"/>
        <v>5015382.0420443891</v>
      </c>
      <c r="J19" s="89">
        <f t="shared" si="3"/>
        <v>5386411.0075618299</v>
      </c>
      <c r="L19" s="6"/>
    </row>
    <row r="20" spans="2:19">
      <c r="B20" s="88" t="s">
        <v>34</v>
      </c>
      <c r="C20" s="88"/>
      <c r="D20" s="454">
        <f>SUM(D19:J19)</f>
        <v>27716077.249104775</v>
      </c>
      <c r="E20" s="454"/>
      <c r="F20" s="454"/>
      <c r="G20" s="454"/>
      <c r="H20" s="454"/>
      <c r="I20" s="454"/>
      <c r="J20" s="454"/>
      <c r="L20" s="6"/>
    </row>
    <row r="21" spans="2:19">
      <c r="B21" s="88"/>
      <c r="C21" s="88"/>
      <c r="D21" s="89"/>
      <c r="E21" s="89"/>
      <c r="F21" s="89"/>
      <c r="G21" s="89"/>
      <c r="H21" s="89"/>
      <c r="I21" s="89"/>
      <c r="J21" s="89"/>
    </row>
    <row r="22" spans="2:19">
      <c r="B22" s="9" t="s">
        <v>35</v>
      </c>
      <c r="C22" s="9"/>
      <c r="D22" s="455">
        <f>'1.Project Cost and MOF'!D12</f>
        <v>27716077.249104783</v>
      </c>
      <c r="E22" s="455"/>
      <c r="F22" s="455"/>
      <c r="G22" s="455"/>
      <c r="H22" s="455"/>
      <c r="I22" s="455"/>
      <c r="J22" s="455"/>
    </row>
    <row r="23" spans="2:19">
      <c r="F23" s="17">
        <f>D20-D22</f>
        <v>0</v>
      </c>
    </row>
    <row r="24" spans="2:19" ht="29.45" customHeight="1">
      <c r="B24" s="460" t="s">
        <v>434</v>
      </c>
      <c r="C24" s="460"/>
      <c r="D24" s="460"/>
      <c r="E24" s="460"/>
      <c r="F24" s="460"/>
      <c r="G24" s="460"/>
      <c r="H24" s="460"/>
      <c r="I24" s="460"/>
      <c r="J24" s="460"/>
    </row>
    <row r="25" spans="2:19">
      <c r="K25" s="17"/>
      <c r="L25" s="17"/>
      <c r="M25" s="17"/>
    </row>
    <row r="26" spans="2:19" ht="18.75">
      <c r="B26" s="417" t="s">
        <v>577</v>
      </c>
      <c r="C26" s="417"/>
      <c r="D26" s="417"/>
      <c r="E26" s="417"/>
      <c r="F26" s="417"/>
      <c r="G26" s="417"/>
      <c r="H26" s="417"/>
      <c r="I26" s="417"/>
    </row>
    <row r="27" spans="2:19">
      <c r="K27" s="17"/>
    </row>
    <row r="28" spans="2:19">
      <c r="B28" s="113" t="s">
        <v>0</v>
      </c>
      <c r="C28" s="104" t="s">
        <v>2</v>
      </c>
      <c r="D28" s="104" t="s">
        <v>3</v>
      </c>
      <c r="E28" s="104" t="s">
        <v>4</v>
      </c>
      <c r="F28" s="104" t="s">
        <v>5</v>
      </c>
      <c r="G28" s="104" t="s">
        <v>6</v>
      </c>
      <c r="H28" s="104" t="s">
        <v>171</v>
      </c>
      <c r="I28" s="104" t="s">
        <v>170</v>
      </c>
    </row>
    <row r="29" spans="2:19">
      <c r="B29" s="95"/>
      <c r="C29" s="95"/>
      <c r="D29" s="95"/>
      <c r="E29" s="95"/>
      <c r="F29" s="95"/>
      <c r="G29" s="95"/>
      <c r="H29" s="95"/>
      <c r="I29" s="95"/>
    </row>
    <row r="30" spans="2:19">
      <c r="B30" s="95" t="s">
        <v>37</v>
      </c>
      <c r="C30" s="95"/>
      <c r="D30" s="95"/>
      <c r="E30" s="95"/>
      <c r="F30" s="95"/>
      <c r="G30" s="95"/>
      <c r="H30" s="95"/>
      <c r="I30" s="95"/>
    </row>
    <row r="31" spans="2:19">
      <c r="B31" s="95"/>
      <c r="C31" s="96"/>
      <c r="D31" s="96"/>
      <c r="E31" s="96"/>
      <c r="F31" s="96"/>
      <c r="G31" s="96"/>
      <c r="H31" s="96"/>
      <c r="I31" s="96"/>
    </row>
    <row r="32" spans="2:19">
      <c r="B32" s="110" t="str">
        <f>'6.Cons Profit &amp; Loss'!A8</f>
        <v>Faclitiy 1 - Trading</v>
      </c>
      <c r="C32" s="96">
        <f>'6.Cons Profit &amp; Loss'!B8</f>
        <v>20551157.706836998</v>
      </c>
      <c r="D32" s="96">
        <f>'6.Cons Profit &amp; Loss'!C8</f>
        <v>28089782.57197272</v>
      </c>
      <c r="E32" s="96">
        <f>'6.Cons Profit &amp; Loss'!D8</f>
        <v>35451736.414977446</v>
      </c>
      <c r="F32" s="96">
        <f>'6.Cons Profit &amp; Loss'!E8</f>
        <v>43479661.185852736</v>
      </c>
      <c r="G32" s="96">
        <f>'6.Cons Profit &amp; Loss'!F8</f>
        <v>52221749.092778094</v>
      </c>
      <c r="H32" s="96">
        <f>'6.Cons Profit &amp; Loss'!G8</f>
        <v>61729346.637431368</v>
      </c>
      <c r="I32" s="96">
        <f>'6.Cons Profit &amp; Loss'!H8</f>
        <v>72057149.563818023</v>
      </c>
    </row>
    <row r="33" spans="2:9">
      <c r="B33" s="110" t="str">
        <f>'6.Cons Profit &amp; Loss'!A9</f>
        <v>Faclitiy 2 - Processing Unit- Cleaning Grading</v>
      </c>
      <c r="C33" s="96">
        <f>'6.Cons Profit &amp; Loss'!B9</f>
        <v>27703270.355039999</v>
      </c>
      <c r="D33" s="96">
        <f>'6.Cons Profit &amp; Loss'!C9</f>
        <v>36387278.748764999</v>
      </c>
      <c r="E33" s="96">
        <f>'6.Cons Profit &amp; Loss'!D9</f>
        <v>45847971.223443896</v>
      </c>
      <c r="F33" s="96">
        <f>'6.Cons Profit &amp; Loss'!E9</f>
        <v>56163764.748718776</v>
      </c>
      <c r="G33" s="96">
        <f>'6.Cons Profit &amp; Loss'!F9</f>
        <v>67396517.698462546</v>
      </c>
      <c r="H33" s="96">
        <f>'6.Cons Profit &amp; Loss'!G9</f>
        <v>79612136.531308874</v>
      </c>
      <c r="I33" s="96">
        <f>'6.Cons Profit &amp; Loss'!H9</f>
        <v>92880825.953193694</v>
      </c>
    </row>
    <row r="34" spans="2:9">
      <c r="B34" s="110" t="str">
        <f>'6.Cons Profit &amp; Loss'!A10</f>
        <v>Faclitiy 3 - Warehouse</v>
      </c>
      <c r="C34" s="96">
        <f>'6.Cons Profit &amp; Loss'!B10</f>
        <v>1360800</v>
      </c>
      <c r="D34" s="96">
        <f>'6.Cons Profit &amp; Loss'!C10</f>
        <v>1530900</v>
      </c>
      <c r="E34" s="96">
        <f>'6.Cons Profit &amp; Loss'!D10</f>
        <v>1714608</v>
      </c>
      <c r="F34" s="96">
        <f>'6.Cons Profit &amp; Loss'!E10</f>
        <v>1912859.5500000005</v>
      </c>
      <c r="G34" s="96">
        <f>'6.Cons Profit &amp; Loss'!F10</f>
        <v>2126649.7350000008</v>
      </c>
      <c r="H34" s="96">
        <f>'6.Cons Profit &amp; Loss'!G10</f>
        <v>2232982.221750001</v>
      </c>
      <c r="I34" s="96">
        <f>'6.Cons Profit &amp; Loss'!H10</f>
        <v>2344631.3328375011</v>
      </c>
    </row>
    <row r="35" spans="2:9">
      <c r="B35" s="110" t="str">
        <f>'6.Cons Profit &amp; Loss'!A11</f>
        <v xml:space="preserve">Faclitiy 4 - Custom Hiring </v>
      </c>
      <c r="C35" s="96">
        <f>'6.Cons Profit &amp; Loss'!B11</f>
        <v>0</v>
      </c>
      <c r="D35" s="96">
        <f>'6.Cons Profit &amp; Loss'!C11</f>
        <v>0</v>
      </c>
      <c r="E35" s="96">
        <f>'6.Cons Profit &amp; Loss'!D11</f>
        <v>0</v>
      </c>
      <c r="F35" s="96">
        <f>'6.Cons Profit &amp; Loss'!E11</f>
        <v>0</v>
      </c>
      <c r="G35" s="96">
        <f>'6.Cons Profit &amp; Loss'!F11</f>
        <v>0</v>
      </c>
      <c r="H35" s="96">
        <f>'6.Cons Profit &amp; Loss'!G11</f>
        <v>0</v>
      </c>
      <c r="I35" s="96">
        <f>'6.Cons Profit &amp; Loss'!H11</f>
        <v>0</v>
      </c>
    </row>
    <row r="36" spans="2:9">
      <c r="B36" s="110" t="str">
        <f>'6.Cons Profit &amp; Loss'!A12</f>
        <v>Faclitiy 5 - Agri Input Centre</v>
      </c>
      <c r="C36" s="96">
        <f>'6.Cons Profit &amp; Loss'!B12</f>
        <v>0</v>
      </c>
      <c r="D36" s="96">
        <f>'6.Cons Profit &amp; Loss'!C12</f>
        <v>0</v>
      </c>
      <c r="E36" s="96">
        <f>'6.Cons Profit &amp; Loss'!D12</f>
        <v>0</v>
      </c>
      <c r="F36" s="96">
        <f>'6.Cons Profit &amp; Loss'!E12</f>
        <v>0</v>
      </c>
      <c r="G36" s="96">
        <f>'6.Cons Profit &amp; Loss'!F12</f>
        <v>0</v>
      </c>
      <c r="H36" s="96">
        <f>'6.Cons Profit &amp; Loss'!G12</f>
        <v>0</v>
      </c>
      <c r="I36" s="96">
        <f>'6.Cons Profit &amp; Loss'!H12</f>
        <v>0</v>
      </c>
    </row>
    <row r="37" spans="2:9">
      <c r="B37" s="110" t="str">
        <f>'6.Cons Profit &amp; Loss'!A13</f>
        <v>Facility 6 - Processing Unit - Horti Commodity</v>
      </c>
      <c r="C37" s="96">
        <f>'6.Cons Profit &amp; Loss'!B13</f>
        <v>0</v>
      </c>
      <c r="D37" s="96">
        <f>'6.Cons Profit &amp; Loss'!C13</f>
        <v>0</v>
      </c>
      <c r="E37" s="96">
        <f>'6.Cons Profit &amp; Loss'!D13</f>
        <v>0</v>
      </c>
      <c r="F37" s="96">
        <f>'6.Cons Profit &amp; Loss'!E13</f>
        <v>0</v>
      </c>
      <c r="G37" s="96">
        <f>'6.Cons Profit &amp; Loss'!F13</f>
        <v>0</v>
      </c>
      <c r="H37" s="96">
        <f>'6.Cons Profit &amp; Loss'!G13</f>
        <v>0</v>
      </c>
      <c r="I37" s="96">
        <f>'6.Cons Profit &amp; Loss'!H13</f>
        <v>0</v>
      </c>
    </row>
    <row r="38" spans="2:9">
      <c r="B38" s="110"/>
      <c r="C38" s="110"/>
      <c r="D38" s="110"/>
      <c r="E38" s="110"/>
      <c r="F38" s="110"/>
      <c r="G38" s="110"/>
      <c r="H38" s="110"/>
      <c r="I38" s="110"/>
    </row>
    <row r="39" spans="2:9">
      <c r="B39" s="95" t="s">
        <v>8</v>
      </c>
      <c r="C39" s="96">
        <f>SUM(C32:C38)</f>
        <v>49615228.061876997</v>
      </c>
      <c r="D39" s="96">
        <f t="shared" ref="D39:I39" si="4">SUM(D32:D38)</f>
        <v>66007961.32073772</v>
      </c>
      <c r="E39" s="96">
        <f t="shared" si="4"/>
        <v>83014315.638421342</v>
      </c>
      <c r="F39" s="96">
        <f t="shared" si="4"/>
        <v>101556285.4845715</v>
      </c>
      <c r="G39" s="96">
        <f t="shared" si="4"/>
        <v>121744916.52624063</v>
      </c>
      <c r="H39" s="96">
        <f t="shared" si="4"/>
        <v>143574465.39049023</v>
      </c>
      <c r="I39" s="96">
        <f t="shared" si="4"/>
        <v>167282606.84984919</v>
      </c>
    </row>
    <row r="40" spans="2:9">
      <c r="B40" s="95"/>
      <c r="C40" s="96"/>
      <c r="D40" s="96"/>
      <c r="E40" s="96"/>
      <c r="F40" s="96"/>
      <c r="G40" s="96"/>
      <c r="H40" s="96"/>
      <c r="I40" s="96"/>
    </row>
    <row r="41" spans="2:9">
      <c r="B41" s="95" t="s">
        <v>38</v>
      </c>
      <c r="C41" s="96">
        <f>'6.Cons Profit &amp; Loss'!B25</f>
        <v>42119884.007655323</v>
      </c>
      <c r="D41" s="96">
        <f>'6.Cons Profit &amp; Loss'!C25</f>
        <v>57277015.487484664</v>
      </c>
      <c r="E41" s="96">
        <f>'6.Cons Profit &amp; Loss'!D25</f>
        <v>72165187.321392328</v>
      </c>
      <c r="F41" s="96">
        <f>'6.Cons Profit &amp; Loss'!E25</f>
        <v>88399155.30187498</v>
      </c>
      <c r="G41" s="96">
        <f>'6.Cons Profit &amp; Loss'!F25</f>
        <v>106076107.11210245</v>
      </c>
      <c r="H41" s="96">
        <f>'6.Cons Profit &amp; Loss'!G25</f>
        <v>125299756.21509798</v>
      </c>
      <c r="I41" s="96">
        <f>'6.Cons Profit &amp; Loss'!H25</f>
        <v>146180579.96061283</v>
      </c>
    </row>
    <row r="42" spans="2:9">
      <c r="B42" s="95"/>
      <c r="C42" s="96"/>
      <c r="D42" s="96"/>
      <c r="E42" s="96"/>
      <c r="F42" s="96"/>
      <c r="G42" s="96"/>
      <c r="H42" s="96"/>
      <c r="I42" s="96"/>
    </row>
    <row r="43" spans="2:9">
      <c r="B43" s="97" t="s">
        <v>39</v>
      </c>
      <c r="C43" s="115">
        <f>C39-C41</f>
        <v>7495344.0542216748</v>
      </c>
      <c r="D43" s="115">
        <f t="shared" ref="D43:I43" si="5">D39-D41</f>
        <v>8730945.8332530558</v>
      </c>
      <c r="E43" s="115">
        <f t="shared" si="5"/>
        <v>10849128.317029014</v>
      </c>
      <c r="F43" s="115">
        <f t="shared" si="5"/>
        <v>13157130.182696521</v>
      </c>
      <c r="G43" s="115">
        <f t="shared" si="5"/>
        <v>15668809.414138183</v>
      </c>
      <c r="H43" s="115">
        <f t="shared" si="5"/>
        <v>18274709.175392255</v>
      </c>
      <c r="I43" s="115">
        <f t="shared" si="5"/>
        <v>21102026.889236361</v>
      </c>
    </row>
    <row r="44" spans="2:9">
      <c r="B44" s="95"/>
      <c r="C44" s="96"/>
      <c r="D44" s="96"/>
      <c r="E44" s="96"/>
      <c r="F44" s="96"/>
      <c r="G44" s="96"/>
      <c r="H44" s="96"/>
      <c r="I44" s="96"/>
    </row>
    <row r="45" spans="2:9">
      <c r="B45" s="97" t="s">
        <v>41</v>
      </c>
      <c r="C45" s="115">
        <f>'6.Cons Profit &amp; Loss'!B36+'6.Cons Profit &amp; Loss'!B42+'6.Cons Profit &amp; Loss'!B43</f>
        <v>4695102.4681000002</v>
      </c>
      <c r="D45" s="115">
        <f>'6.Cons Profit &amp; Loss'!C36+'6.Cons Profit &amp; Loss'!C42+'6.Cons Profit &amp; Loss'!C43</f>
        <v>4868762.4681000002</v>
      </c>
      <c r="E45" s="115">
        <f>'6.Cons Profit &amp; Loss'!D36+'6.Cons Profit &amp; Loss'!D42+'6.Cons Profit &amp; Loss'!D43</f>
        <v>5051105.4681000002</v>
      </c>
      <c r="F45" s="115">
        <f>'6.Cons Profit &amp; Loss'!E36+'6.Cons Profit &amp; Loss'!E42+'6.Cons Profit &amp; Loss'!E43</f>
        <v>5242565.6181000005</v>
      </c>
      <c r="G45" s="115">
        <f>'6.Cons Profit &amp; Loss'!F36+'6.Cons Profit &amp; Loss'!F42+'6.Cons Profit &amp; Loss'!F43</f>
        <v>5443598.7756000003</v>
      </c>
      <c r="H45" s="115">
        <f>'6.Cons Profit &amp; Loss'!G36+'6.Cons Profit &amp; Loss'!G42+'6.Cons Profit &amp; Loss'!G43</f>
        <v>5389683.5909750005</v>
      </c>
      <c r="I45" s="115">
        <f>'6.Cons Profit &amp; Loss'!H36+'6.Cons Profit &amp; Loss'!H42+'6.Cons Profit &amp; Loss'!H43</f>
        <v>5611322.6471187519</v>
      </c>
    </row>
    <row r="46" spans="2:9">
      <c r="B46" s="95"/>
      <c r="C46" s="95"/>
      <c r="D46" s="95"/>
      <c r="E46" s="95"/>
      <c r="F46" s="95"/>
      <c r="G46" s="95"/>
      <c r="H46" s="95"/>
      <c r="I46" s="95"/>
    </row>
    <row r="47" spans="2:9">
      <c r="B47" s="95" t="s">
        <v>40</v>
      </c>
      <c r="C47" s="114">
        <f>C45/C43</f>
        <v>0.62640252857445977</v>
      </c>
      <c r="D47" s="114">
        <f>D45/D43</f>
        <v>0.55764433328135221</v>
      </c>
      <c r="E47" s="114">
        <f>E45/E43</f>
        <v>0.46557707868305709</v>
      </c>
      <c r="F47" s="114">
        <f>F45/F43</f>
        <v>0.39845813983012135</v>
      </c>
      <c r="G47" s="114">
        <f>G45/G43</f>
        <v>0.34741623512812442</v>
      </c>
      <c r="H47" s="114">
        <f t="shared" ref="H47:I47" si="6">H45/H43</f>
        <v>0.29492582011824625</v>
      </c>
      <c r="I47" s="114">
        <f t="shared" si="6"/>
        <v>0.26591391796495878</v>
      </c>
    </row>
    <row r="48" spans="2:9">
      <c r="B48" s="94"/>
      <c r="C48" s="94"/>
      <c r="D48" s="94"/>
      <c r="E48" s="94"/>
      <c r="F48" s="94"/>
      <c r="G48" s="94"/>
      <c r="H48" s="94"/>
      <c r="I48" s="94"/>
    </row>
    <row r="49" spans="2:10">
      <c r="B49" s="116" t="s">
        <v>134</v>
      </c>
      <c r="C49" s="117">
        <f>AVERAGE(C47:I47)</f>
        <v>0.42233400765433149</v>
      </c>
      <c r="D49" s="94"/>
      <c r="E49" s="94"/>
      <c r="F49" s="94"/>
      <c r="G49" s="94"/>
      <c r="H49" s="94"/>
      <c r="I49" s="94"/>
    </row>
    <row r="51" spans="2:10" ht="41.45" customHeight="1">
      <c r="B51" s="461" t="s">
        <v>435</v>
      </c>
      <c r="C51" s="461"/>
      <c r="D51" s="461"/>
      <c r="E51" s="461"/>
      <c r="F51" s="461"/>
      <c r="G51" s="461"/>
      <c r="H51" s="461"/>
      <c r="I51" s="461"/>
      <c r="J51" s="461"/>
    </row>
    <row r="54" spans="2:10" ht="18.75">
      <c r="B54" s="417" t="s">
        <v>578</v>
      </c>
      <c r="C54" s="417"/>
      <c r="D54" s="417"/>
      <c r="E54" s="417"/>
      <c r="F54" s="417"/>
      <c r="G54" s="417"/>
      <c r="H54" s="417"/>
      <c r="I54" s="417"/>
    </row>
    <row r="56" spans="2:10">
      <c r="B56" s="82" t="s">
        <v>29</v>
      </c>
      <c r="C56" s="83" t="s">
        <v>2</v>
      </c>
      <c r="D56" s="83" t="s">
        <v>3</v>
      </c>
      <c r="E56" s="83" t="s">
        <v>4</v>
      </c>
      <c r="F56" s="83" t="s">
        <v>5</v>
      </c>
      <c r="G56" s="83" t="s">
        <v>6</v>
      </c>
      <c r="H56" s="83" t="s">
        <v>171</v>
      </c>
      <c r="I56" s="83" t="s">
        <v>170</v>
      </c>
    </row>
    <row r="57" spans="2:10">
      <c r="B57" s="95"/>
      <c r="C57" s="95"/>
      <c r="D57" s="95"/>
      <c r="E57" s="95"/>
      <c r="F57" s="95"/>
      <c r="G57" s="95"/>
      <c r="H57" s="95"/>
      <c r="I57" s="95"/>
    </row>
    <row r="58" spans="2:10">
      <c r="B58" s="95" t="s">
        <v>383</v>
      </c>
      <c r="C58" s="342">
        <f>'6.Cons Profit &amp; Loss'!B51</f>
        <v>1533493.9298832645</v>
      </c>
      <c r="D58" s="342">
        <f>'6.Cons Profit &amp; Loss'!C51</f>
        <v>2197492.8689659699</v>
      </c>
      <c r="E58" s="342">
        <f>'6.Cons Profit &amp; Loss'!D51</f>
        <v>3619367.5139275924</v>
      </c>
      <c r="F58" s="342">
        <f>'6.Cons Profit &amp; Loss'!E51</f>
        <v>5197084.1111102337</v>
      </c>
      <c r="G58" s="342">
        <f>'6.Cons Profit &amp; Loss'!F51</f>
        <v>6942504.8213234916</v>
      </c>
      <c r="H58" s="342">
        <f>'6.Cons Profit &amp; Loss'!G51</f>
        <v>8973330.0677528549</v>
      </c>
      <c r="I58" s="342">
        <f>'6.Cons Profit &amp; Loss'!H51</f>
        <v>10993910.595902566</v>
      </c>
    </row>
    <row r="59" spans="2:10">
      <c r="B59" s="95"/>
      <c r="C59" s="342"/>
      <c r="D59" s="342"/>
      <c r="E59" s="342"/>
      <c r="F59" s="342"/>
      <c r="G59" s="342"/>
      <c r="H59" s="342"/>
      <c r="I59" s="342"/>
    </row>
    <row r="60" spans="2:10">
      <c r="B60" s="95" t="s">
        <v>42</v>
      </c>
      <c r="C60" s="342">
        <f>'6.Cons Profit &amp; Loss'!B42</f>
        <v>956902.46809999994</v>
      </c>
      <c r="D60" s="342">
        <f>'6.Cons Profit &amp; Loss'!C42</f>
        <v>956902.46809999994</v>
      </c>
      <c r="E60" s="342">
        <f>'6.Cons Profit &amp; Loss'!D42</f>
        <v>956902.46809999994</v>
      </c>
      <c r="F60" s="342">
        <f>'6.Cons Profit &amp; Loss'!E42</f>
        <v>956902.46809999994</v>
      </c>
      <c r="G60" s="342">
        <f>'6.Cons Profit &amp; Loss'!F42</f>
        <v>956902.46809999994</v>
      </c>
      <c r="H60" s="342">
        <f>'6.Cons Profit &amp; Loss'!G42</f>
        <v>956902.46809999994</v>
      </c>
      <c r="I60" s="342">
        <f>'6.Cons Profit &amp; Loss'!H42</f>
        <v>956902.46809999994</v>
      </c>
    </row>
    <row r="61" spans="2:10">
      <c r="B61" s="109" t="s">
        <v>48</v>
      </c>
      <c r="C61" s="342">
        <f>'6.Cons Profit &amp; Loss'!B43</f>
        <v>265000</v>
      </c>
      <c r="D61" s="342">
        <f>'6.Cons Profit &amp; Loss'!C43</f>
        <v>265000</v>
      </c>
      <c r="E61" s="342">
        <f>'6.Cons Profit &amp; Loss'!D43</f>
        <v>265000</v>
      </c>
      <c r="F61" s="342">
        <f>'6.Cons Profit &amp; Loss'!E43</f>
        <v>265000</v>
      </c>
      <c r="G61" s="342">
        <f>'6.Cons Profit &amp; Loss'!F43</f>
        <v>265000</v>
      </c>
      <c r="H61" s="342">
        <f>'6.Cons Profit &amp; Loss'!G43</f>
        <v>0</v>
      </c>
      <c r="I61" s="342">
        <f>'6.Cons Profit &amp; Loss'!H43</f>
        <v>0</v>
      </c>
    </row>
    <row r="62" spans="2:10">
      <c r="B62" s="95"/>
      <c r="C62" s="342"/>
      <c r="D62" s="342"/>
      <c r="E62" s="342"/>
      <c r="F62" s="342"/>
      <c r="G62" s="342"/>
      <c r="H62" s="342"/>
      <c r="I62" s="342"/>
    </row>
    <row r="63" spans="2:10">
      <c r="B63" s="95" t="s">
        <v>32</v>
      </c>
      <c r="C63" s="342">
        <f>SUM(C58:C61)</f>
        <v>2755396.3979832642</v>
      </c>
      <c r="D63" s="342">
        <f t="shared" ref="D63:I63" si="7">SUM(D58:D61)</f>
        <v>3419395.3370659696</v>
      </c>
      <c r="E63" s="342">
        <f t="shared" si="7"/>
        <v>4841269.9820275921</v>
      </c>
      <c r="F63" s="342">
        <f t="shared" si="7"/>
        <v>6418986.5792102339</v>
      </c>
      <c r="G63" s="342">
        <f t="shared" si="7"/>
        <v>8164407.2894234918</v>
      </c>
      <c r="H63" s="342">
        <f t="shared" si="7"/>
        <v>9930232.5358528551</v>
      </c>
      <c r="I63" s="342">
        <f t="shared" si="7"/>
        <v>11950813.064002566</v>
      </c>
    </row>
    <row r="64" spans="2:10">
      <c r="B64" s="95"/>
      <c r="C64" s="95"/>
      <c r="D64" s="95"/>
      <c r="E64" s="95"/>
      <c r="F64" s="95"/>
      <c r="G64" s="95"/>
      <c r="H64" s="95"/>
      <c r="I64" s="95"/>
    </row>
    <row r="65" spans="2:10" ht="16.5">
      <c r="B65" s="11" t="s">
        <v>43</v>
      </c>
      <c r="C65" s="110">
        <f>1/1.1</f>
        <v>0.90909090909090906</v>
      </c>
      <c r="D65" s="110">
        <f t="shared" ref="D65:I65" si="8">C65/1.1</f>
        <v>0.82644628099173545</v>
      </c>
      <c r="E65" s="110">
        <f t="shared" si="8"/>
        <v>0.75131480090157765</v>
      </c>
      <c r="F65" s="110">
        <f t="shared" si="8"/>
        <v>0.68301345536507052</v>
      </c>
      <c r="G65" s="110">
        <f t="shared" si="8"/>
        <v>0.62092132305915493</v>
      </c>
      <c r="H65" s="110">
        <f t="shared" si="8"/>
        <v>0.56447393005377711</v>
      </c>
      <c r="I65" s="110">
        <f t="shared" si="8"/>
        <v>0.51315811823070645</v>
      </c>
    </row>
    <row r="66" spans="2:10">
      <c r="B66" s="95"/>
      <c r="C66" s="95"/>
      <c r="D66" s="95"/>
      <c r="E66" s="95"/>
      <c r="F66" s="95"/>
      <c r="G66" s="95"/>
      <c r="H66" s="95"/>
      <c r="I66" s="95"/>
    </row>
    <row r="67" spans="2:10" ht="16.5">
      <c r="B67" s="11" t="s">
        <v>44</v>
      </c>
      <c r="C67" s="96">
        <f>C63*C65</f>
        <v>2504905.8163484219</v>
      </c>
      <c r="D67" s="96">
        <f t="shared" ref="D67:I67" si="9">D63*D65</f>
        <v>2825946.5595586523</v>
      </c>
      <c r="E67" s="96">
        <f t="shared" si="9"/>
        <v>3637317.7926578447</v>
      </c>
      <c r="F67" s="96">
        <f t="shared" si="9"/>
        <v>4384254.2034083959</v>
      </c>
      <c r="G67" s="96">
        <f t="shared" si="9"/>
        <v>5069454.5761426436</v>
      </c>
      <c r="H67" s="96">
        <f t="shared" si="9"/>
        <v>5605357.3858607458</v>
      </c>
      <c r="I67" s="96">
        <f t="shared" si="9"/>
        <v>6132656.7432505004</v>
      </c>
    </row>
    <row r="68" spans="2:10">
      <c r="B68" s="94"/>
      <c r="C68" s="112"/>
      <c r="D68" s="112"/>
      <c r="E68" s="112"/>
      <c r="F68" s="112"/>
      <c r="G68" s="112"/>
      <c r="H68" s="112"/>
      <c r="I68" s="112"/>
    </row>
    <row r="69" spans="2:10" ht="16.5">
      <c r="B69" s="12" t="s">
        <v>45</v>
      </c>
      <c r="C69" s="112">
        <f>SUM(C67:I67)</f>
        <v>30159893.077227205</v>
      </c>
      <c r="D69" s="112"/>
      <c r="E69" s="112"/>
      <c r="F69" s="112"/>
      <c r="G69" s="112"/>
      <c r="H69" s="112"/>
      <c r="I69" s="112"/>
    </row>
    <row r="70" spans="2:10">
      <c r="B70" s="94"/>
      <c r="C70" s="112"/>
      <c r="D70" s="112"/>
      <c r="E70" s="112"/>
      <c r="F70" s="112"/>
      <c r="G70" s="112"/>
      <c r="H70" s="112"/>
      <c r="I70" s="112"/>
    </row>
    <row r="71" spans="2:10" ht="16.5">
      <c r="B71" s="12" t="s">
        <v>46</v>
      </c>
      <c r="C71" s="112">
        <f>'1.Project Cost and MOF'!D12</f>
        <v>27716077.249104783</v>
      </c>
      <c r="D71" s="112"/>
      <c r="E71" s="112"/>
      <c r="F71" s="112"/>
      <c r="G71" s="112"/>
      <c r="H71" s="112"/>
      <c r="I71" s="112"/>
    </row>
    <row r="72" spans="2:10">
      <c r="B72" s="94"/>
      <c r="C72" s="111"/>
      <c r="D72" s="94"/>
      <c r="E72" s="94"/>
      <c r="F72" s="94"/>
      <c r="G72" s="94"/>
      <c r="H72" s="94"/>
      <c r="I72" s="94"/>
    </row>
    <row r="73" spans="2:10" ht="16.5">
      <c r="B73" s="12" t="s">
        <v>47</v>
      </c>
      <c r="C73" s="111">
        <f>C69-C71</f>
        <v>2443815.8281224221</v>
      </c>
      <c r="D73" s="94"/>
      <c r="E73" s="94"/>
      <c r="F73" s="94"/>
      <c r="G73" s="94"/>
      <c r="H73" s="94"/>
      <c r="I73" s="94"/>
    </row>
    <row r="75" spans="2:10" ht="35.1" customHeight="1">
      <c r="B75" s="422" t="s">
        <v>436</v>
      </c>
      <c r="C75" s="422"/>
      <c r="D75" s="422"/>
      <c r="E75" s="422"/>
      <c r="F75" s="422"/>
      <c r="G75" s="422"/>
      <c r="H75" s="422"/>
      <c r="I75" s="422"/>
      <c r="J75" s="422"/>
    </row>
    <row r="76" spans="2:10" ht="18.75">
      <c r="B76" s="417" t="s">
        <v>579</v>
      </c>
      <c r="C76" s="417"/>
      <c r="D76" s="417"/>
      <c r="E76" s="417"/>
      <c r="F76" s="417"/>
      <c r="G76" s="417"/>
      <c r="H76" s="417"/>
      <c r="I76" s="417"/>
    </row>
    <row r="77" spans="2:10">
      <c r="B77" s="94"/>
      <c r="C77" s="94"/>
      <c r="D77" s="94"/>
      <c r="E77" s="94"/>
      <c r="F77" s="94"/>
      <c r="G77" s="94"/>
      <c r="H77" s="94"/>
      <c r="I77" s="94"/>
    </row>
    <row r="78" spans="2:10" ht="15.75">
      <c r="B78" s="72" t="s">
        <v>0</v>
      </c>
      <c r="C78" s="72" t="s">
        <v>2</v>
      </c>
      <c r="D78" s="72" t="s">
        <v>3</v>
      </c>
      <c r="E78" s="72" t="s">
        <v>4</v>
      </c>
      <c r="F78" s="72" t="s">
        <v>5</v>
      </c>
      <c r="G78" s="72" t="s">
        <v>6</v>
      </c>
      <c r="H78" s="72" t="s">
        <v>171</v>
      </c>
      <c r="I78" s="72" t="s">
        <v>170</v>
      </c>
    </row>
    <row r="79" spans="2:10" ht="15.75">
      <c r="B79" s="69"/>
      <c r="C79" s="70"/>
      <c r="D79" s="70"/>
      <c r="E79" s="70"/>
      <c r="F79" s="70"/>
      <c r="G79" s="70"/>
      <c r="H79" s="70"/>
      <c r="I79" s="70"/>
    </row>
    <row r="80" spans="2:10">
      <c r="B80" s="97" t="s">
        <v>27</v>
      </c>
      <c r="C80" s="96">
        <f>'6.Cons Profit &amp; Loss'!B51</f>
        <v>1533493.9298832645</v>
      </c>
      <c r="D80" s="96">
        <f>'6.Cons Profit &amp; Loss'!C51</f>
        <v>2197492.8689659699</v>
      </c>
      <c r="E80" s="96">
        <f>'6.Cons Profit &amp; Loss'!D51</f>
        <v>3619367.5139275924</v>
      </c>
      <c r="F80" s="96">
        <f>'6.Cons Profit &amp; Loss'!E51</f>
        <v>5197084.1111102337</v>
      </c>
      <c r="G80" s="96">
        <f>'6.Cons Profit &amp; Loss'!F51</f>
        <v>6942504.8213234916</v>
      </c>
      <c r="H80" s="96">
        <f>'6.Cons Profit &amp; Loss'!G51</f>
        <v>8973330.0677528549</v>
      </c>
      <c r="I80" s="96">
        <f>'6.Cons Profit &amp; Loss'!H51</f>
        <v>10993910.595902566</v>
      </c>
    </row>
    <row r="81" spans="2:10">
      <c r="B81" s="95"/>
      <c r="C81" s="95"/>
      <c r="D81" s="95"/>
      <c r="E81" s="95"/>
      <c r="F81" s="95"/>
      <c r="G81" s="95"/>
      <c r="H81" s="95"/>
      <c r="I81" s="95"/>
    </row>
    <row r="82" spans="2:10">
      <c r="B82" s="97" t="s">
        <v>124</v>
      </c>
      <c r="C82" s="457">
        <f>AVERAGE(C80:I80)</f>
        <v>5636740.5584094245</v>
      </c>
      <c r="D82" s="457"/>
      <c r="E82" s="457"/>
      <c r="F82" s="457"/>
      <c r="G82" s="457"/>
      <c r="H82" s="457"/>
      <c r="I82" s="457"/>
    </row>
    <row r="83" spans="2:10">
      <c r="B83" s="97" t="s">
        <v>125</v>
      </c>
      <c r="C83" s="457">
        <f>'1.Project Cost and MOF'!D12</f>
        <v>27716077.249104783</v>
      </c>
      <c r="D83" s="457"/>
      <c r="E83" s="457"/>
      <c r="F83" s="457"/>
      <c r="G83" s="457"/>
      <c r="H83" s="457"/>
      <c r="I83" s="457"/>
    </row>
    <row r="84" spans="2:10">
      <c r="B84" s="95"/>
      <c r="C84" s="95"/>
      <c r="D84" s="95"/>
      <c r="E84" s="95"/>
      <c r="F84" s="95"/>
      <c r="G84" s="95"/>
      <c r="H84" s="95"/>
      <c r="I84" s="95"/>
    </row>
    <row r="85" spans="2:10">
      <c r="B85" s="271" t="s">
        <v>126</v>
      </c>
      <c r="C85" s="458">
        <f>C82/C83</f>
        <v>0.20337439918888553</v>
      </c>
      <c r="D85" s="458"/>
      <c r="E85" s="458"/>
      <c r="F85" s="458"/>
      <c r="G85" s="458"/>
      <c r="H85" s="458"/>
      <c r="I85" s="458"/>
    </row>
    <row r="88" spans="2:10">
      <c r="B88" s="456" t="s">
        <v>437</v>
      </c>
      <c r="C88" s="456"/>
      <c r="D88" s="456"/>
      <c r="E88" s="456"/>
      <c r="F88" s="456"/>
      <c r="G88" s="456"/>
      <c r="H88" s="456"/>
      <c r="I88" s="456"/>
    </row>
    <row r="90" spans="2:10" ht="18.75">
      <c r="B90" s="417" t="s">
        <v>580</v>
      </c>
      <c r="C90" s="417"/>
      <c r="D90" s="417"/>
      <c r="E90" s="417"/>
      <c r="F90" s="417"/>
      <c r="G90" s="417"/>
      <c r="H90" s="417"/>
      <c r="I90" s="417"/>
      <c r="J90" s="417"/>
    </row>
    <row r="92" spans="2:10">
      <c r="B92" s="104" t="s">
        <v>0</v>
      </c>
      <c r="C92" s="104" t="s">
        <v>342</v>
      </c>
      <c r="D92" s="104" t="s">
        <v>2</v>
      </c>
      <c r="E92" s="104" t="s">
        <v>3</v>
      </c>
      <c r="F92" s="104" t="s">
        <v>4</v>
      </c>
      <c r="G92" s="104" t="s">
        <v>5</v>
      </c>
      <c r="H92" s="104" t="s">
        <v>6</v>
      </c>
      <c r="I92" s="104" t="s">
        <v>171</v>
      </c>
      <c r="J92" s="104" t="s">
        <v>170</v>
      </c>
    </row>
    <row r="93" spans="2:10">
      <c r="B93" s="105"/>
      <c r="C93" s="105"/>
      <c r="D93" s="106"/>
      <c r="E93" s="106"/>
      <c r="F93" s="106"/>
      <c r="G93" s="106"/>
      <c r="H93" s="106"/>
      <c r="I93" s="106"/>
      <c r="J93" s="106"/>
    </row>
    <row r="94" spans="2:10">
      <c r="B94" s="24" t="s">
        <v>285</v>
      </c>
      <c r="C94" s="107">
        <f>'1.Project Cost and MOF'!D12</f>
        <v>27716077.249104783</v>
      </c>
      <c r="D94" s="106"/>
      <c r="E94" s="106"/>
      <c r="F94" s="106"/>
      <c r="G94" s="106"/>
      <c r="H94" s="106"/>
      <c r="I94" s="106"/>
      <c r="J94" s="106"/>
    </row>
    <row r="95" spans="2:10">
      <c r="B95" s="25" t="str">
        <f>B58</f>
        <v>Profit after Tax &amp; Dividend</v>
      </c>
      <c r="C95" s="25"/>
      <c r="D95" s="26">
        <f>'6.Cons Profit &amp; Loss'!B51</f>
        <v>1533493.9298832645</v>
      </c>
      <c r="E95" s="26">
        <f>'6.Cons Profit &amp; Loss'!C51</f>
        <v>2197492.8689659699</v>
      </c>
      <c r="F95" s="26">
        <f>'6.Cons Profit &amp; Loss'!D51</f>
        <v>3619367.5139275924</v>
      </c>
      <c r="G95" s="26">
        <f>'6.Cons Profit &amp; Loss'!E51</f>
        <v>5197084.1111102337</v>
      </c>
      <c r="H95" s="26">
        <f>'6.Cons Profit &amp; Loss'!F51</f>
        <v>6942504.8213234916</v>
      </c>
      <c r="I95" s="26">
        <f>'6.Cons Profit &amp; Loss'!G51</f>
        <v>8973330.0677528549</v>
      </c>
      <c r="J95" s="26">
        <f>'6.Cons Profit &amp; Loss'!H51</f>
        <v>10993910.595902566</v>
      </c>
    </row>
    <row r="96" spans="2:10">
      <c r="B96" s="25" t="str">
        <f>B60</f>
        <v>Add: Deprication</v>
      </c>
      <c r="C96" s="25"/>
      <c r="D96" s="92">
        <f>'6.Cons Profit &amp; Loss'!B42</f>
        <v>956902.46809999994</v>
      </c>
      <c r="E96" s="92">
        <f>'6.Cons Profit &amp; Loss'!C42</f>
        <v>956902.46809999994</v>
      </c>
      <c r="F96" s="92">
        <f>'6.Cons Profit &amp; Loss'!D42</f>
        <v>956902.46809999994</v>
      </c>
      <c r="G96" s="92">
        <f>'6.Cons Profit &amp; Loss'!E42</f>
        <v>956902.46809999994</v>
      </c>
      <c r="H96" s="92">
        <f>'6.Cons Profit &amp; Loss'!F42</f>
        <v>956902.46809999994</v>
      </c>
      <c r="I96" s="92">
        <f>'6.Cons Profit &amp; Loss'!G42</f>
        <v>956902.46809999994</v>
      </c>
      <c r="J96" s="92">
        <f>'6.Cons Profit &amp; Loss'!H42</f>
        <v>956902.46809999994</v>
      </c>
    </row>
    <row r="97" spans="2:10">
      <c r="B97" s="25" t="str">
        <f>B61</f>
        <v>Add. Preliminary exp Written off</v>
      </c>
      <c r="C97" s="25"/>
      <c r="D97" s="92">
        <f>'6.Cons Profit &amp; Loss'!B43</f>
        <v>265000</v>
      </c>
      <c r="E97" s="92">
        <f>'6.Cons Profit &amp; Loss'!C43</f>
        <v>265000</v>
      </c>
      <c r="F97" s="92">
        <f>'6.Cons Profit &amp; Loss'!D43</f>
        <v>265000</v>
      </c>
      <c r="G97" s="92">
        <f>'6.Cons Profit &amp; Loss'!E43</f>
        <v>265000</v>
      </c>
      <c r="H97" s="92">
        <f>'6.Cons Profit &amp; Loss'!F43</f>
        <v>265000</v>
      </c>
      <c r="I97" s="92">
        <f>'6.Cons Profit &amp; Loss'!G43</f>
        <v>0</v>
      </c>
      <c r="J97" s="92">
        <f>'6.Cons Profit &amp; Loss'!H43</f>
        <v>0</v>
      </c>
    </row>
    <row r="98" spans="2:10">
      <c r="B98" s="25" t="str">
        <f>B63</f>
        <v xml:space="preserve">Net Cash Accrual (A)      </v>
      </c>
      <c r="C98" s="25"/>
      <c r="D98" s="270">
        <f>SUM(D95:D97)</f>
        <v>2755396.3979832642</v>
      </c>
      <c r="E98" s="270">
        <f t="shared" ref="E98:J98" si="10">SUM(E95:E97)</f>
        <v>3419395.3370659696</v>
      </c>
      <c r="F98" s="270">
        <f t="shared" si="10"/>
        <v>4841269.9820275921</v>
      </c>
      <c r="G98" s="270">
        <f t="shared" si="10"/>
        <v>6418986.5792102339</v>
      </c>
      <c r="H98" s="270">
        <f t="shared" si="10"/>
        <v>8164407.2894234918</v>
      </c>
      <c r="I98" s="270">
        <f t="shared" si="10"/>
        <v>9930232.5358528551</v>
      </c>
      <c r="J98" s="270">
        <f t="shared" si="10"/>
        <v>11950813.064002566</v>
      </c>
    </row>
    <row r="99" spans="2:10">
      <c r="B99" s="24" t="s">
        <v>286</v>
      </c>
      <c r="C99" s="108"/>
      <c r="D99" s="71">
        <f>D98-C94</f>
        <v>-24960680.851121519</v>
      </c>
      <c r="E99" s="71">
        <f>D99+E98</f>
        <v>-21541285.51405555</v>
      </c>
      <c r="F99" s="71">
        <f>E99+F98</f>
        <v>-16700015.532027958</v>
      </c>
      <c r="G99" s="71">
        <f>F99+G98</f>
        <v>-10281028.952817723</v>
      </c>
      <c r="H99" s="71">
        <f>G99+H98</f>
        <v>-2116621.6633942313</v>
      </c>
      <c r="I99" s="93"/>
      <c r="J99" s="93"/>
    </row>
    <row r="100" spans="2:10">
      <c r="B100" s="7"/>
      <c r="C100" s="7"/>
      <c r="D100" s="7"/>
      <c r="E100" s="7"/>
      <c r="F100" s="7"/>
      <c r="G100" s="7"/>
      <c r="H100" s="7"/>
      <c r="I100" s="7"/>
      <c r="J100" s="7"/>
    </row>
    <row r="101" spans="2:10">
      <c r="B101" s="27" t="s">
        <v>287</v>
      </c>
      <c r="C101" s="7"/>
      <c r="D101" s="64">
        <f>4+(-G99/H98)</f>
        <v>5.2592498865332438</v>
      </c>
      <c r="E101" s="7"/>
      <c r="F101" s="7"/>
      <c r="G101" s="7"/>
      <c r="H101" s="7"/>
      <c r="I101" s="7"/>
      <c r="J101" s="7"/>
    </row>
    <row r="102" spans="2:10">
      <c r="B102" s="7"/>
      <c r="C102" s="7"/>
      <c r="D102" s="7"/>
      <c r="E102" s="7"/>
      <c r="F102" s="7"/>
      <c r="G102" s="7"/>
      <c r="H102" s="7"/>
      <c r="I102" s="7"/>
      <c r="J102" s="7"/>
    </row>
    <row r="103" spans="2:10">
      <c r="B103" s="456" t="s">
        <v>438</v>
      </c>
      <c r="C103" s="456"/>
      <c r="D103" s="456"/>
      <c r="E103" s="456"/>
      <c r="F103" s="456"/>
      <c r="G103" s="456"/>
      <c r="H103" s="456"/>
      <c r="I103" s="456"/>
      <c r="J103" s="456"/>
    </row>
    <row r="105" spans="2:10" ht="18.75">
      <c r="B105" s="417" t="s">
        <v>581</v>
      </c>
      <c r="C105" s="417"/>
      <c r="D105" s="417"/>
      <c r="E105" s="417"/>
      <c r="F105" s="417"/>
      <c r="G105" s="417"/>
      <c r="H105" s="417"/>
      <c r="I105" s="417"/>
    </row>
    <row r="107" spans="2:10" ht="15.75">
      <c r="B107" s="72" t="s">
        <v>0</v>
      </c>
      <c r="C107" s="72" t="s">
        <v>2</v>
      </c>
      <c r="D107" s="72" t="s">
        <v>3</v>
      </c>
      <c r="E107" s="72" t="s">
        <v>4</v>
      </c>
      <c r="F107" s="72" t="s">
        <v>5</v>
      </c>
      <c r="G107" s="72" t="s">
        <v>6</v>
      </c>
      <c r="H107" s="72" t="s">
        <v>171</v>
      </c>
      <c r="I107" s="72" t="s">
        <v>170</v>
      </c>
    </row>
    <row r="108" spans="2:10" ht="15.75">
      <c r="B108" s="69"/>
      <c r="C108" s="70"/>
      <c r="D108" s="70"/>
      <c r="E108" s="70"/>
      <c r="F108" s="70"/>
      <c r="G108" s="70"/>
      <c r="H108" s="70"/>
      <c r="I108" s="70"/>
    </row>
    <row r="109" spans="2:10">
      <c r="B109" s="95" t="s">
        <v>345</v>
      </c>
      <c r="C109" s="96">
        <f>'6.Cons Profit &amp; Loss'!B51</f>
        <v>1533493.9298832645</v>
      </c>
      <c r="D109" s="96">
        <f>'6.Cons Profit &amp; Loss'!C51</f>
        <v>2197492.8689659699</v>
      </c>
      <c r="E109" s="96">
        <f>'6.Cons Profit &amp; Loss'!D51</f>
        <v>3619367.5139275924</v>
      </c>
      <c r="F109" s="96">
        <f>'6.Cons Profit &amp; Loss'!E51</f>
        <v>5197084.1111102337</v>
      </c>
      <c r="G109" s="96">
        <f>'6.Cons Profit &amp; Loss'!F51</f>
        <v>6942504.8213234916</v>
      </c>
      <c r="H109" s="96">
        <f>'6.Cons Profit &amp; Loss'!G51</f>
        <v>8973330.0677528549</v>
      </c>
      <c r="I109" s="96">
        <f>'6.Cons Profit &amp; Loss'!H51</f>
        <v>10993910.595902566</v>
      </c>
    </row>
    <row r="110" spans="2:10" hidden="1">
      <c r="B110" s="95" t="s">
        <v>355</v>
      </c>
      <c r="C110" s="96"/>
      <c r="D110" s="96"/>
      <c r="E110" s="96"/>
      <c r="F110" s="96"/>
      <c r="G110" s="96"/>
      <c r="H110" s="96"/>
      <c r="I110" s="96"/>
    </row>
    <row r="111" spans="2:10" hidden="1">
      <c r="B111" s="95" t="s">
        <v>356</v>
      </c>
      <c r="C111" s="96"/>
      <c r="D111" s="96"/>
      <c r="E111" s="96"/>
      <c r="F111" s="96"/>
      <c r="G111" s="96"/>
      <c r="H111" s="96"/>
      <c r="I111" s="96"/>
    </row>
    <row r="112" spans="2:10" hidden="1">
      <c r="B112" s="95" t="s">
        <v>357</v>
      </c>
      <c r="C112" s="96"/>
      <c r="D112" s="96"/>
      <c r="E112" s="96"/>
      <c r="F112" s="96"/>
      <c r="G112" s="96"/>
      <c r="H112" s="96"/>
      <c r="I112" s="96"/>
    </row>
    <row r="113" spans="2:18">
      <c r="B113" s="97" t="s">
        <v>1</v>
      </c>
      <c r="C113" s="98">
        <f>SUM(C109:C112)</f>
        <v>1533493.9298832645</v>
      </c>
      <c r="D113" s="98">
        <f t="shared" ref="D113:I113" si="11">SUM(D109:D112)</f>
        <v>2197492.8689659699</v>
      </c>
      <c r="E113" s="98">
        <f t="shared" si="11"/>
        <v>3619367.5139275924</v>
      </c>
      <c r="F113" s="98">
        <f t="shared" si="11"/>
        <v>5197084.1111102337</v>
      </c>
      <c r="G113" s="98">
        <f t="shared" si="11"/>
        <v>6942504.8213234916</v>
      </c>
      <c r="H113" s="98">
        <f>SUM(H109:H112)</f>
        <v>8973330.0677528549</v>
      </c>
      <c r="I113" s="98">
        <f t="shared" si="11"/>
        <v>10993910.595902566</v>
      </c>
    </row>
    <row r="114" spans="2:18">
      <c r="B114" s="95"/>
      <c r="C114" s="95"/>
      <c r="D114" s="95"/>
      <c r="E114" s="95"/>
      <c r="F114" s="95"/>
      <c r="G114" s="95"/>
      <c r="H114" s="95"/>
      <c r="I114" s="95"/>
    </row>
    <row r="115" spans="2:18">
      <c r="B115" s="99" t="s">
        <v>288</v>
      </c>
      <c r="C115" s="100">
        <f>'8.Cash Flow '!C25+'8.Cash Flow '!C26</f>
        <v>1691106.6661947104</v>
      </c>
      <c r="D115" s="100">
        <f>'8.Cash Flow '!D25+'8.Cash Flow '!D26</f>
        <v>2307949.4712294205</v>
      </c>
      <c r="E115" s="100">
        <f>'8.Cash Flow '!E25+'8.Cash Flow '!E26</f>
        <v>2307949.471229421</v>
      </c>
      <c r="F115" s="100">
        <f>'8.Cash Flow '!F25+'8.Cash Flow '!F26</f>
        <v>2307949.471229421</v>
      </c>
      <c r="G115" s="100">
        <f>'8.Cash Flow '!G25+'8.Cash Flow '!G26</f>
        <v>2307949.471229421</v>
      </c>
      <c r="H115" s="100">
        <f>'8.Cash Flow '!H25+'8.Cash Flow '!H26</f>
        <v>2307949.4712294205</v>
      </c>
      <c r="I115" s="100">
        <f>'8.Cash Flow '!I25+'8.Cash Flow '!I26</f>
        <v>2307949.471229421</v>
      </c>
    </row>
    <row r="116" spans="2:18">
      <c r="B116" s="95"/>
      <c r="C116" s="95"/>
      <c r="D116" s="95"/>
      <c r="E116" s="95"/>
      <c r="F116" s="95"/>
      <c r="G116" s="95"/>
      <c r="H116" s="95"/>
      <c r="I116" s="95"/>
    </row>
    <row r="117" spans="2:18">
      <c r="B117" s="101" t="s">
        <v>343</v>
      </c>
      <c r="C117" s="102">
        <f>C113/C115</f>
        <v>0.90679905681756756</v>
      </c>
      <c r="D117" s="102">
        <f t="shared" ref="D117:I117" si="12">D113/D115</f>
        <v>0.95214080566304105</v>
      </c>
      <c r="E117" s="102">
        <f t="shared" si="12"/>
        <v>1.5682178310427188</v>
      </c>
      <c r="F117" s="102">
        <f t="shared" si="12"/>
        <v>2.2518188443448897</v>
      </c>
      <c r="G117" s="102">
        <f t="shared" si="12"/>
        <v>3.008083542498567</v>
      </c>
      <c r="H117" s="102">
        <f t="shared" si="12"/>
        <v>3.8880097591447078</v>
      </c>
      <c r="I117" s="102">
        <f t="shared" si="12"/>
        <v>4.7634970925278628</v>
      </c>
    </row>
    <row r="118" spans="2:18">
      <c r="B118" s="94"/>
      <c r="C118" s="94"/>
      <c r="D118" s="94"/>
      <c r="E118" s="94"/>
      <c r="F118" s="94"/>
      <c r="G118" s="94"/>
      <c r="H118" s="94"/>
      <c r="I118" s="94"/>
    </row>
    <row r="119" spans="2:18">
      <c r="B119" s="94" t="s">
        <v>344</v>
      </c>
      <c r="C119" s="103">
        <f>AVERAGE(C117:I117)</f>
        <v>2.4769381331484794</v>
      </c>
      <c r="D119" s="94"/>
      <c r="E119" s="94"/>
      <c r="F119" s="94"/>
      <c r="G119" s="94"/>
      <c r="H119" s="94"/>
      <c r="I119" s="94"/>
    </row>
    <row r="121" spans="2:18" ht="29.45" customHeight="1">
      <c r="B121" s="422" t="s">
        <v>439</v>
      </c>
      <c r="C121" s="422"/>
      <c r="D121" s="422"/>
      <c r="E121" s="422"/>
      <c r="F121" s="422"/>
      <c r="G121" s="422"/>
      <c r="H121" s="422"/>
      <c r="I121" s="422"/>
      <c r="J121" s="422"/>
    </row>
    <row r="123" spans="2:18" ht="21">
      <c r="B123" s="451" t="s">
        <v>582</v>
      </c>
      <c r="C123" s="452"/>
      <c r="D123" s="452"/>
      <c r="E123" s="452"/>
      <c r="F123" s="452"/>
      <c r="G123" s="452"/>
      <c r="H123" s="452"/>
      <c r="I123" s="452"/>
      <c r="K123" s="453"/>
      <c r="L123" s="453"/>
      <c r="M123" s="453"/>
      <c r="N123" s="453"/>
      <c r="O123" s="453"/>
      <c r="P123" s="453"/>
      <c r="Q123" s="453"/>
      <c r="R123" s="453"/>
    </row>
    <row r="124" spans="2:18">
      <c r="B124" s="82" t="s">
        <v>358</v>
      </c>
      <c r="C124" s="83" t="s">
        <v>2</v>
      </c>
      <c r="D124" s="83" t="s">
        <v>3</v>
      </c>
      <c r="E124" s="83" t="s">
        <v>4</v>
      </c>
      <c r="F124" s="83" t="s">
        <v>5</v>
      </c>
      <c r="G124" s="83" t="s">
        <v>6</v>
      </c>
      <c r="H124" s="83" t="s">
        <v>171</v>
      </c>
      <c r="I124" s="83" t="s">
        <v>170</v>
      </c>
    </row>
    <row r="125" spans="2:18">
      <c r="B125" s="74" t="str">
        <f>'6.Cons Profit &amp; Loss'!A8</f>
        <v>Faclitiy 1 - Trading</v>
      </c>
      <c r="C125" s="339">
        <f>'6.Cons Profit &amp; Loss'!B8*(1+$M$126)</f>
        <v>21578715.592178848</v>
      </c>
      <c r="D125" s="339">
        <f>'6.Cons Profit &amp; Loss'!C8*(1+$M$126)</f>
        <v>29494271.700571358</v>
      </c>
      <c r="E125" s="339">
        <f>'6.Cons Profit &amp; Loss'!D8*(1+$M$126)</f>
        <v>37224323.235726319</v>
      </c>
      <c r="F125" s="339">
        <f>'6.Cons Profit &amp; Loss'!E8*(1+$M$126)</f>
        <v>45653644.245145373</v>
      </c>
      <c r="G125" s="339">
        <f>'6.Cons Profit &amp; Loss'!F8*(1+$M$126)</f>
        <v>54832836.547417</v>
      </c>
      <c r="H125" s="339">
        <f>'6.Cons Profit &amp; Loss'!G8*(1+$M$126)</f>
        <v>64815813.969302937</v>
      </c>
      <c r="I125" s="339">
        <f>'6.Cons Profit &amp; Loss'!H8*(1+$M$126)</f>
        <v>75660007.042008922</v>
      </c>
    </row>
    <row r="126" spans="2:18">
      <c r="B126" s="74" t="str">
        <f>'6.Cons Profit &amp; Loss'!A9</f>
        <v>Faclitiy 2 - Processing Unit- Cleaning Grading</v>
      </c>
      <c r="C126" s="339">
        <f>'6.Cons Profit &amp; Loss'!B9*(1+$M$126)</f>
        <v>29088433.872792002</v>
      </c>
      <c r="D126" s="339">
        <f>'6.Cons Profit &amp; Loss'!C9*(1+$M$126)</f>
        <v>38206642.686203249</v>
      </c>
      <c r="E126" s="339">
        <f>'6.Cons Profit &amp; Loss'!D9*(1+$M$126)</f>
        <v>48140369.78461609</v>
      </c>
      <c r="F126" s="339">
        <f>'6.Cons Profit &amp; Loss'!E9*(1+$M$126)</f>
        <v>58971952.98615472</v>
      </c>
      <c r="G126" s="339">
        <f>'6.Cons Profit &amp; Loss'!F9*(1+$M$126)</f>
        <v>70766343.583385676</v>
      </c>
      <c r="H126" s="339">
        <f>'6.Cons Profit &amp; Loss'!G9*(1+$M$126)</f>
        <v>83592743.357874319</v>
      </c>
      <c r="I126" s="339">
        <f>'6.Cons Profit &amp; Loss'!H9*(1+$M$126)</f>
        <v>97524867.25085339</v>
      </c>
      <c r="L126" s="5" t="s">
        <v>378</v>
      </c>
      <c r="M126" s="279">
        <v>0.05</v>
      </c>
    </row>
    <row r="127" spans="2:18">
      <c r="B127" s="74" t="str">
        <f>'6.Cons Profit &amp; Loss'!A10</f>
        <v>Faclitiy 3 - Warehouse</v>
      </c>
      <c r="C127" s="339">
        <f>'6.Cons Profit &amp; Loss'!B10*(1+$M$126)</f>
        <v>1428840</v>
      </c>
      <c r="D127" s="339">
        <f>'6.Cons Profit &amp; Loss'!C10*(1+$M$126)</f>
        <v>1607445</v>
      </c>
      <c r="E127" s="339">
        <f>'6.Cons Profit &amp; Loss'!D10*(1+$M$126)</f>
        <v>1800338.4000000001</v>
      </c>
      <c r="F127" s="339">
        <f>'6.Cons Profit &amp; Loss'!E10*(1+$M$126)</f>
        <v>2008502.5275000005</v>
      </c>
      <c r="G127" s="339">
        <f>'6.Cons Profit &amp; Loss'!F10*(1+$M$126)</f>
        <v>2232982.221750001</v>
      </c>
      <c r="H127" s="339">
        <f>'6.Cons Profit &amp; Loss'!G10*(1+$M$126)</f>
        <v>2344631.3328375011</v>
      </c>
      <c r="I127" s="339">
        <f>'6.Cons Profit &amp; Loss'!H10*(1+$M$126)</f>
        <v>2461862.8994793762</v>
      </c>
      <c r="L127" s="5" t="s">
        <v>379</v>
      </c>
      <c r="M127" s="279">
        <v>0.05</v>
      </c>
    </row>
    <row r="128" spans="2:18">
      <c r="B128" s="74" t="str">
        <f>'6.Cons Profit &amp; Loss'!A11</f>
        <v xml:space="preserve">Faclitiy 4 - Custom Hiring </v>
      </c>
      <c r="C128" s="339">
        <f>'6.Cons Profit &amp; Loss'!B11*(1+$M$126)</f>
        <v>0</v>
      </c>
      <c r="D128" s="339">
        <f>'6.Cons Profit &amp; Loss'!C11*(1+$M$126)</f>
        <v>0</v>
      </c>
      <c r="E128" s="339">
        <f>'6.Cons Profit &amp; Loss'!D11*(1+$M$126)</f>
        <v>0</v>
      </c>
      <c r="F128" s="339">
        <f>'6.Cons Profit &amp; Loss'!E11*(1+$M$126)</f>
        <v>0</v>
      </c>
      <c r="G128" s="339">
        <f>'6.Cons Profit &amp; Loss'!F11*(1+$M$126)</f>
        <v>0</v>
      </c>
      <c r="H128" s="339">
        <f>'6.Cons Profit &amp; Loss'!G11*(1+$M$126)</f>
        <v>0</v>
      </c>
      <c r="I128" s="339">
        <f>'6.Cons Profit &amp; Loss'!H11*(1+$M$126)</f>
        <v>0</v>
      </c>
    </row>
    <row r="129" spans="2:9">
      <c r="B129" s="74" t="str">
        <f>'6.Cons Profit &amp; Loss'!A12</f>
        <v>Faclitiy 5 - Agri Input Centre</v>
      </c>
      <c r="C129" s="339">
        <f>'6.Cons Profit &amp; Loss'!B12*(1+$M$126)</f>
        <v>0</v>
      </c>
      <c r="D129" s="339">
        <f>'6.Cons Profit &amp; Loss'!C12*(1+$M$126)</f>
        <v>0</v>
      </c>
      <c r="E129" s="339">
        <f>'6.Cons Profit &amp; Loss'!D12*(1+$M$126)</f>
        <v>0</v>
      </c>
      <c r="F129" s="339">
        <f>'6.Cons Profit &amp; Loss'!E12*(1+$M$126)</f>
        <v>0</v>
      </c>
      <c r="G129" s="339">
        <f>'6.Cons Profit &amp; Loss'!F12*(1+$M$126)</f>
        <v>0</v>
      </c>
      <c r="H129" s="339">
        <f>'6.Cons Profit &amp; Loss'!G12*(1+$M$126)</f>
        <v>0</v>
      </c>
      <c r="I129" s="339">
        <f>'6.Cons Profit &amp; Loss'!H12*(1+$M$126)</f>
        <v>0</v>
      </c>
    </row>
    <row r="130" spans="2:9">
      <c r="B130" s="74" t="str">
        <f>'6.Cons Profit &amp; Loss'!A13</f>
        <v>Facility 6 - Processing Unit - Horti Commodity</v>
      </c>
      <c r="C130" s="339">
        <f>'6.Cons Profit &amp; Loss'!B13*(1+$M$126)</f>
        <v>0</v>
      </c>
      <c r="D130" s="339">
        <f>'6.Cons Profit &amp; Loss'!C13*(1+$M$126)</f>
        <v>0</v>
      </c>
      <c r="E130" s="339">
        <f>'6.Cons Profit &amp; Loss'!D13*(1+$M$126)</f>
        <v>0</v>
      </c>
      <c r="F130" s="339">
        <f>'6.Cons Profit &amp; Loss'!E13*(1+$M$126)</f>
        <v>0</v>
      </c>
      <c r="G130" s="339">
        <f>'6.Cons Profit &amp; Loss'!F13*(1+$M$126)</f>
        <v>0</v>
      </c>
      <c r="H130" s="339">
        <f>'6.Cons Profit &amp; Loss'!G13*(1+$M$126)</f>
        <v>0</v>
      </c>
      <c r="I130" s="339">
        <f>'6.Cons Profit &amp; Loss'!H13*(1+$M$126)</f>
        <v>0</v>
      </c>
    </row>
    <row r="131" spans="2:9">
      <c r="B131" s="74">
        <f>'6.Cons Profit &amp; Loss'!A14</f>
        <v>0</v>
      </c>
      <c r="C131" s="339">
        <f>'6.Cons Profit &amp; Loss'!B14*(1+$M$126)</f>
        <v>0</v>
      </c>
      <c r="D131" s="339">
        <f>'6.Cons Profit &amp; Loss'!C14*(1+$M$126)</f>
        <v>0</v>
      </c>
      <c r="E131" s="339">
        <f>'6.Cons Profit &amp; Loss'!D14*(1+$M$126)</f>
        <v>0</v>
      </c>
      <c r="F131" s="339">
        <f>'6.Cons Profit &amp; Loss'!E14*(1+$M$126)</f>
        <v>0</v>
      </c>
      <c r="G131" s="339">
        <f>'6.Cons Profit &amp; Loss'!F14*(1+$M$126)</f>
        <v>0</v>
      </c>
      <c r="H131" s="339">
        <f>'6.Cons Profit &amp; Loss'!G14*(1+$M$126)</f>
        <v>0</v>
      </c>
      <c r="I131" s="339">
        <f>'6.Cons Profit &amp; Loss'!H14*(1+$M$126)</f>
        <v>0</v>
      </c>
    </row>
    <row r="132" spans="2:9">
      <c r="B132" s="74" t="s">
        <v>359</v>
      </c>
      <c r="C132" s="339">
        <f>SUM(C125:C131)</f>
        <v>52095989.464970849</v>
      </c>
      <c r="D132" s="339">
        <f t="shared" ref="D132:I132" si="13">SUM(D125:D131)</f>
        <v>69308359.3867746</v>
      </c>
      <c r="E132" s="339">
        <f t="shared" si="13"/>
        <v>87165031.420342416</v>
      </c>
      <c r="F132" s="339">
        <f t="shared" si="13"/>
        <v>106634099.75880009</v>
      </c>
      <c r="G132" s="339">
        <f t="shared" si="13"/>
        <v>127832162.35255268</v>
      </c>
      <c r="H132" s="339">
        <f t="shared" si="13"/>
        <v>150753188.66001475</v>
      </c>
      <c r="I132" s="339">
        <f t="shared" si="13"/>
        <v>175646737.19234169</v>
      </c>
    </row>
    <row r="133" spans="2:9">
      <c r="B133" s="74" t="s">
        <v>360</v>
      </c>
      <c r="C133" s="339"/>
      <c r="D133" s="339"/>
      <c r="E133" s="339"/>
      <c r="F133" s="339"/>
      <c r="G133" s="339"/>
      <c r="H133" s="339"/>
      <c r="I133" s="339"/>
    </row>
    <row r="134" spans="2:9">
      <c r="B134" s="74" t="s">
        <v>361</v>
      </c>
      <c r="C134" s="339">
        <f>'6.Cons Profit &amp; Loss'!B36</f>
        <v>3473200</v>
      </c>
      <c r="D134" s="339">
        <f>'6.Cons Profit &amp; Loss'!C36</f>
        <v>3646860</v>
      </c>
      <c r="E134" s="339">
        <f>'6.Cons Profit &amp; Loss'!D36</f>
        <v>3829203</v>
      </c>
      <c r="F134" s="339">
        <f>'6.Cons Profit &amp; Loss'!E36</f>
        <v>4020663.1500000004</v>
      </c>
      <c r="G134" s="339">
        <f>'6.Cons Profit &amp; Loss'!F36</f>
        <v>4221696.3075000001</v>
      </c>
      <c r="H134" s="339">
        <f>'6.Cons Profit &amp; Loss'!G36</f>
        <v>4432781.1228750004</v>
      </c>
      <c r="I134" s="339">
        <f>'6.Cons Profit &amp; Loss'!H36</f>
        <v>4654420.1790187517</v>
      </c>
    </row>
    <row r="135" spans="2:9">
      <c r="B135" s="74" t="s">
        <v>316</v>
      </c>
      <c r="C135" s="339">
        <f>'6.Cons Profit &amp; Loss'!B25*(1+M126)</f>
        <v>44225878.208038092</v>
      </c>
      <c r="D135" s="339">
        <f>'6.Cons Profit &amp; Loss'!C25*(1+N126)</f>
        <v>57277015.487484664</v>
      </c>
      <c r="E135" s="339">
        <f>'6.Cons Profit &amp; Loss'!D25*(1+O126)</f>
        <v>72165187.321392328</v>
      </c>
      <c r="F135" s="339">
        <f>'6.Cons Profit &amp; Loss'!E25*(1+P126)</f>
        <v>88399155.30187498</v>
      </c>
      <c r="G135" s="339">
        <f>'6.Cons Profit &amp; Loss'!F25*(1+Q126)</f>
        <v>106076107.11210245</v>
      </c>
      <c r="H135" s="339">
        <f>'6.Cons Profit &amp; Loss'!G25*(1+R126)</f>
        <v>125299756.21509798</v>
      </c>
      <c r="I135" s="339">
        <f>'6.Cons Profit &amp; Loss'!H25*(1+S126)</f>
        <v>146180579.96061283</v>
      </c>
    </row>
    <row r="136" spans="2:9">
      <c r="B136" s="74" t="s">
        <v>362</v>
      </c>
      <c r="C136" s="339">
        <f t="shared" ref="C136:I136" si="14">SUM(C134:C135)</f>
        <v>47699078.208038092</v>
      </c>
      <c r="D136" s="339">
        <f t="shared" si="14"/>
        <v>60923875.487484664</v>
      </c>
      <c r="E136" s="339">
        <f t="shared" si="14"/>
        <v>75994390.321392328</v>
      </c>
      <c r="F136" s="339">
        <f t="shared" si="14"/>
        <v>92419818.451874986</v>
      </c>
      <c r="G136" s="339">
        <f t="shared" si="14"/>
        <v>110297803.41960245</v>
      </c>
      <c r="H136" s="339">
        <f t="shared" si="14"/>
        <v>129732537.33797298</v>
      </c>
      <c r="I136" s="339">
        <f t="shared" si="14"/>
        <v>150835000.1396316</v>
      </c>
    </row>
    <row r="137" spans="2:9">
      <c r="B137" s="77" t="s">
        <v>363</v>
      </c>
      <c r="C137" s="341">
        <f t="shared" ref="C137:I137" si="15">+C132-C136</f>
        <v>4396911.2569327578</v>
      </c>
      <c r="D137" s="341">
        <f t="shared" si="15"/>
        <v>8384483.8992899358</v>
      </c>
      <c r="E137" s="341">
        <f t="shared" si="15"/>
        <v>11170641.098950088</v>
      </c>
      <c r="F137" s="341">
        <f t="shared" si="15"/>
        <v>14214281.306925103</v>
      </c>
      <c r="G137" s="341">
        <f t="shared" si="15"/>
        <v>17534358.932950228</v>
      </c>
      <c r="H137" s="341">
        <f t="shared" si="15"/>
        <v>21020651.322041765</v>
      </c>
      <c r="I137" s="341">
        <f t="shared" si="15"/>
        <v>24811737.052710086</v>
      </c>
    </row>
    <row r="138" spans="2:9">
      <c r="B138" s="79"/>
      <c r="C138" s="80"/>
      <c r="D138" s="80"/>
      <c r="E138" s="80"/>
      <c r="F138" s="80"/>
      <c r="G138" s="80"/>
      <c r="H138" s="80"/>
      <c r="I138" s="80"/>
    </row>
    <row r="139" spans="2:9">
      <c r="B139" s="82" t="s">
        <v>364</v>
      </c>
      <c r="C139" s="83" t="s">
        <v>2</v>
      </c>
      <c r="D139" s="83" t="s">
        <v>3</v>
      </c>
      <c r="E139" s="83" t="s">
        <v>4</v>
      </c>
      <c r="F139" s="83" t="s">
        <v>5</v>
      </c>
      <c r="G139" s="83" t="s">
        <v>6</v>
      </c>
      <c r="H139" s="83" t="s">
        <v>171</v>
      </c>
      <c r="I139" s="83" t="s">
        <v>170</v>
      </c>
    </row>
    <row r="140" spans="2:9">
      <c r="B140" s="74" t="str">
        <f t="shared" ref="B140:B146" si="16">B125</f>
        <v>Faclitiy 1 - Trading</v>
      </c>
      <c r="C140" s="76">
        <f>'6.Cons Profit &amp; Loss'!B8</f>
        <v>20551157.706836998</v>
      </c>
      <c r="D140" s="76">
        <f>'6.Cons Profit &amp; Loss'!C8</f>
        <v>28089782.57197272</v>
      </c>
      <c r="E140" s="76">
        <f>'6.Cons Profit &amp; Loss'!D8</f>
        <v>35451736.414977446</v>
      </c>
      <c r="F140" s="76">
        <f>'6.Cons Profit &amp; Loss'!E8</f>
        <v>43479661.185852736</v>
      </c>
      <c r="G140" s="76">
        <f>'6.Cons Profit &amp; Loss'!F8</f>
        <v>52221749.092778094</v>
      </c>
      <c r="H140" s="76">
        <f>'6.Cons Profit &amp; Loss'!G8</f>
        <v>61729346.637431368</v>
      </c>
      <c r="I140" s="76">
        <f>'6.Cons Profit &amp; Loss'!H8</f>
        <v>72057149.563818023</v>
      </c>
    </row>
    <row r="141" spans="2:9">
      <c r="B141" s="74" t="str">
        <f t="shared" si="16"/>
        <v>Faclitiy 2 - Processing Unit- Cleaning Grading</v>
      </c>
      <c r="C141" s="76">
        <f>'6.Cons Profit &amp; Loss'!B9</f>
        <v>27703270.355039999</v>
      </c>
      <c r="D141" s="76">
        <f>'6.Cons Profit &amp; Loss'!C9</f>
        <v>36387278.748764999</v>
      </c>
      <c r="E141" s="76">
        <f>'6.Cons Profit &amp; Loss'!D9</f>
        <v>45847971.223443896</v>
      </c>
      <c r="F141" s="76">
        <f>'6.Cons Profit &amp; Loss'!E9</f>
        <v>56163764.748718776</v>
      </c>
      <c r="G141" s="76">
        <f>'6.Cons Profit &amp; Loss'!F9</f>
        <v>67396517.698462546</v>
      </c>
      <c r="H141" s="76">
        <f>'6.Cons Profit &amp; Loss'!G9</f>
        <v>79612136.531308874</v>
      </c>
      <c r="I141" s="76">
        <f>'6.Cons Profit &amp; Loss'!H9</f>
        <v>92880825.953193694</v>
      </c>
    </row>
    <row r="142" spans="2:9">
      <c r="B142" s="74" t="str">
        <f t="shared" si="16"/>
        <v>Faclitiy 3 - Warehouse</v>
      </c>
      <c r="C142" s="76">
        <f>'6.Cons Profit &amp; Loss'!B10</f>
        <v>1360800</v>
      </c>
      <c r="D142" s="76">
        <f>'6.Cons Profit &amp; Loss'!C10</f>
        <v>1530900</v>
      </c>
      <c r="E142" s="76">
        <f>'6.Cons Profit &amp; Loss'!D10</f>
        <v>1714608</v>
      </c>
      <c r="F142" s="76">
        <f>'6.Cons Profit &amp; Loss'!E10</f>
        <v>1912859.5500000005</v>
      </c>
      <c r="G142" s="76">
        <f>'6.Cons Profit &amp; Loss'!F10</f>
        <v>2126649.7350000008</v>
      </c>
      <c r="H142" s="76">
        <f>'6.Cons Profit &amp; Loss'!G10</f>
        <v>2232982.221750001</v>
      </c>
      <c r="I142" s="76">
        <f>'6.Cons Profit &amp; Loss'!H10</f>
        <v>2344631.3328375011</v>
      </c>
    </row>
    <row r="143" spans="2:9">
      <c r="B143" s="74" t="str">
        <f t="shared" si="16"/>
        <v xml:space="preserve">Faclitiy 4 - Custom Hiring </v>
      </c>
      <c r="C143" s="76">
        <f>'6.Cons Profit &amp; Loss'!B11</f>
        <v>0</v>
      </c>
      <c r="D143" s="76">
        <f>'6.Cons Profit &amp; Loss'!C11</f>
        <v>0</v>
      </c>
      <c r="E143" s="76">
        <f>'6.Cons Profit &amp; Loss'!D11</f>
        <v>0</v>
      </c>
      <c r="F143" s="76">
        <f>'6.Cons Profit &amp; Loss'!E11</f>
        <v>0</v>
      </c>
      <c r="G143" s="76">
        <f>'6.Cons Profit &amp; Loss'!F11</f>
        <v>0</v>
      </c>
      <c r="H143" s="76">
        <f>'6.Cons Profit &amp; Loss'!G11</f>
        <v>0</v>
      </c>
      <c r="I143" s="76">
        <f>'6.Cons Profit &amp; Loss'!H11</f>
        <v>0</v>
      </c>
    </row>
    <row r="144" spans="2:9">
      <c r="B144" s="74" t="str">
        <f t="shared" si="16"/>
        <v>Faclitiy 5 - Agri Input Centre</v>
      </c>
      <c r="C144" s="76">
        <f>'6.Cons Profit &amp; Loss'!B12</f>
        <v>0</v>
      </c>
      <c r="D144" s="76">
        <f>'6.Cons Profit &amp; Loss'!C12</f>
        <v>0</v>
      </c>
      <c r="E144" s="76">
        <f>'6.Cons Profit &amp; Loss'!D12</f>
        <v>0</v>
      </c>
      <c r="F144" s="76">
        <f>'6.Cons Profit &amp; Loss'!E12</f>
        <v>0</v>
      </c>
      <c r="G144" s="76">
        <f>'6.Cons Profit &amp; Loss'!F12</f>
        <v>0</v>
      </c>
      <c r="H144" s="76">
        <f>'6.Cons Profit &amp; Loss'!G12</f>
        <v>0</v>
      </c>
      <c r="I144" s="76">
        <f>'6.Cons Profit &amp; Loss'!H12</f>
        <v>0</v>
      </c>
    </row>
    <row r="145" spans="2:15">
      <c r="B145" s="74" t="str">
        <f t="shared" si="16"/>
        <v>Facility 6 - Processing Unit - Horti Commodity</v>
      </c>
      <c r="C145" s="76">
        <f>'6.Cons Profit &amp; Loss'!B13</f>
        <v>0</v>
      </c>
      <c r="D145" s="76">
        <f>'6.Cons Profit &amp; Loss'!C13</f>
        <v>0</v>
      </c>
      <c r="E145" s="76">
        <f>'6.Cons Profit &amp; Loss'!D13</f>
        <v>0</v>
      </c>
      <c r="F145" s="76">
        <f>'6.Cons Profit &amp; Loss'!E13</f>
        <v>0</v>
      </c>
      <c r="G145" s="76">
        <f>'6.Cons Profit &amp; Loss'!F13</f>
        <v>0</v>
      </c>
      <c r="H145" s="76">
        <f>'6.Cons Profit &amp; Loss'!G13</f>
        <v>0</v>
      </c>
      <c r="I145" s="76">
        <f>'6.Cons Profit &amp; Loss'!H13</f>
        <v>0</v>
      </c>
    </row>
    <row r="146" spans="2:15">
      <c r="B146" s="74">
        <f t="shared" si="16"/>
        <v>0</v>
      </c>
      <c r="C146" s="76">
        <f>'6.Cons Profit &amp; Loss'!B14</f>
        <v>0</v>
      </c>
      <c r="D146" s="76">
        <f>'6.Cons Profit &amp; Loss'!C14</f>
        <v>0</v>
      </c>
      <c r="E146" s="76">
        <f>'6.Cons Profit &amp; Loss'!D14</f>
        <v>0</v>
      </c>
      <c r="F146" s="76">
        <f>'6.Cons Profit &amp; Loss'!E14</f>
        <v>0</v>
      </c>
      <c r="G146" s="76">
        <f>'6.Cons Profit &amp; Loss'!F14</f>
        <v>0</v>
      </c>
      <c r="H146" s="76">
        <f>'6.Cons Profit &amp; Loss'!G14</f>
        <v>0</v>
      </c>
      <c r="I146" s="76">
        <f>'6.Cons Profit &amp; Loss'!H14</f>
        <v>0</v>
      </c>
    </row>
    <row r="147" spans="2:15">
      <c r="B147" s="74" t="s">
        <v>359</v>
      </c>
      <c r="C147" s="76">
        <f>SUM(C140:C146)</f>
        <v>49615228.061876997</v>
      </c>
      <c r="D147" s="76">
        <f t="shared" ref="D147:I147" si="17">SUM(D140:D146)</f>
        <v>66007961.32073772</v>
      </c>
      <c r="E147" s="76">
        <f t="shared" si="17"/>
        <v>83014315.638421342</v>
      </c>
      <c r="F147" s="76">
        <f t="shared" si="17"/>
        <v>101556285.4845715</v>
      </c>
      <c r="G147" s="76">
        <f t="shared" si="17"/>
        <v>121744916.52624063</v>
      </c>
      <c r="H147" s="76">
        <f t="shared" si="17"/>
        <v>143574465.39049023</v>
      </c>
      <c r="I147" s="76">
        <f t="shared" si="17"/>
        <v>167282606.84984919</v>
      </c>
    </row>
    <row r="148" spans="2:15">
      <c r="B148" s="74" t="s">
        <v>360</v>
      </c>
      <c r="C148" s="81"/>
      <c r="D148" s="76"/>
      <c r="E148" s="76"/>
      <c r="F148" s="76"/>
      <c r="G148" s="76"/>
      <c r="H148" s="76"/>
      <c r="I148" s="76"/>
    </row>
    <row r="149" spans="2:15">
      <c r="B149" s="74" t="s">
        <v>361</v>
      </c>
      <c r="C149" s="75">
        <f>'6.Cons Profit &amp; Loss'!B36</f>
        <v>3473200</v>
      </c>
      <c r="D149" s="75">
        <f>'6.Cons Profit &amp; Loss'!C36</f>
        <v>3646860</v>
      </c>
      <c r="E149" s="75">
        <f>'6.Cons Profit &amp; Loss'!D36</f>
        <v>3829203</v>
      </c>
      <c r="F149" s="75">
        <f>'6.Cons Profit &amp; Loss'!E36</f>
        <v>4020663.1500000004</v>
      </c>
      <c r="G149" s="75">
        <f>'6.Cons Profit &amp; Loss'!F36</f>
        <v>4221696.3075000001</v>
      </c>
      <c r="H149" s="75">
        <f>'6.Cons Profit &amp; Loss'!G36</f>
        <v>4432781.1228750004</v>
      </c>
      <c r="I149" s="75">
        <f>'6.Cons Profit &amp; Loss'!H36</f>
        <v>4654420.1790187517</v>
      </c>
    </row>
    <row r="150" spans="2:15">
      <c r="B150" s="74" t="s">
        <v>316</v>
      </c>
      <c r="C150" s="75">
        <f>'6.Cons Profit &amp; Loss'!B25*(1+$M$127)</f>
        <v>44225878.208038092</v>
      </c>
      <c r="D150" s="75">
        <f>'6.Cons Profit &amp; Loss'!C25*(1+$M$127)</f>
        <v>60140866.261858903</v>
      </c>
      <c r="E150" s="75">
        <f>'6.Cons Profit &amp; Loss'!D25*(1+$M$127)</f>
        <v>75773446.687461942</v>
      </c>
      <c r="F150" s="75">
        <f>'6.Cons Profit &amp; Loss'!E25*(1+$M$127)</f>
        <v>92819113.066968739</v>
      </c>
      <c r="G150" s="75">
        <f>'6.Cons Profit &amp; Loss'!F25*(1+$M$127)</f>
        <v>111379912.46770757</v>
      </c>
      <c r="H150" s="75">
        <f>'6.Cons Profit &amp; Loss'!G25*(1+$M$127)</f>
        <v>131564744.02585289</v>
      </c>
      <c r="I150" s="75">
        <f>'6.Cons Profit &amp; Loss'!H25*(1+$M$127)</f>
        <v>153489608.9586435</v>
      </c>
    </row>
    <row r="151" spans="2:15">
      <c r="B151" s="74" t="s">
        <v>362</v>
      </c>
      <c r="C151" s="75">
        <f t="shared" ref="C151:I151" si="18">SUM(C149:C150)</f>
        <v>47699078.208038092</v>
      </c>
      <c r="D151" s="75">
        <f t="shared" si="18"/>
        <v>63787726.261858903</v>
      </c>
      <c r="E151" s="75">
        <f t="shared" si="18"/>
        <v>79602649.687461942</v>
      </c>
      <c r="F151" s="75">
        <f t="shared" si="18"/>
        <v>96839776.216968745</v>
      </c>
      <c r="G151" s="75">
        <f t="shared" si="18"/>
        <v>115601608.77520758</v>
      </c>
      <c r="H151" s="75">
        <f t="shared" si="18"/>
        <v>135997525.14872789</v>
      </c>
      <c r="I151" s="75">
        <f t="shared" si="18"/>
        <v>158144029.13766226</v>
      </c>
    </row>
    <row r="152" spans="2:15">
      <c r="B152" s="77" t="s">
        <v>363</v>
      </c>
      <c r="C152" s="78">
        <f t="shared" ref="C152:I152" si="19">+C147-C151</f>
        <v>1916149.8538389057</v>
      </c>
      <c r="D152" s="78">
        <f t="shared" si="19"/>
        <v>2220235.0588788167</v>
      </c>
      <c r="E152" s="78">
        <f t="shared" si="19"/>
        <v>3411665.9509593993</v>
      </c>
      <c r="F152" s="78">
        <f t="shared" si="19"/>
        <v>4716509.2676027566</v>
      </c>
      <c r="G152" s="78">
        <f t="shared" si="19"/>
        <v>6143307.7510330528</v>
      </c>
      <c r="H152" s="78">
        <f t="shared" si="19"/>
        <v>7576940.2417623401</v>
      </c>
      <c r="I152" s="78">
        <f t="shared" si="19"/>
        <v>9138577.7121869326</v>
      </c>
      <c r="N152" s="4"/>
      <c r="O152" s="6"/>
    </row>
    <row r="153" spans="2:15">
      <c r="B153" s="79"/>
      <c r="C153" s="80"/>
      <c r="D153" s="80"/>
      <c r="E153" s="80"/>
      <c r="F153" s="80"/>
      <c r="G153" s="80"/>
      <c r="H153" s="80"/>
      <c r="I153" s="80"/>
    </row>
    <row r="154" spans="2:15">
      <c r="B154" s="82" t="s">
        <v>365</v>
      </c>
      <c r="C154" s="83" t="s">
        <v>2</v>
      </c>
      <c r="D154" s="83" t="s">
        <v>3</v>
      </c>
      <c r="E154" s="83" t="s">
        <v>4</v>
      </c>
      <c r="F154" s="83" t="s">
        <v>5</v>
      </c>
      <c r="G154" s="83" t="s">
        <v>6</v>
      </c>
      <c r="H154" s="83" t="s">
        <v>171</v>
      </c>
      <c r="I154" s="83" t="s">
        <v>170</v>
      </c>
    </row>
    <row r="155" spans="2:15">
      <c r="B155" s="74" t="str">
        <f t="shared" ref="B155:B161" si="20">B140</f>
        <v>Faclitiy 1 - Trading</v>
      </c>
      <c r="C155" s="339">
        <f>'6.Cons Profit &amp; Loss'!B8*(1-$M$126)</f>
        <v>19523599.821495149</v>
      </c>
      <c r="D155" s="339">
        <f>'6.Cons Profit &amp; Loss'!C8*(1-$M$126)</f>
        <v>26685293.443374082</v>
      </c>
      <c r="E155" s="339">
        <f>'6.Cons Profit &amp; Loss'!D8*(1-$M$126)</f>
        <v>33679149.594228573</v>
      </c>
      <c r="F155" s="339">
        <f>'6.Cons Profit &amp; Loss'!E8*(1-$M$126)</f>
        <v>41305678.126560099</v>
      </c>
      <c r="G155" s="339">
        <f>'6.Cons Profit &amp; Loss'!F8*(1-$M$126)</f>
        <v>49610661.638139188</v>
      </c>
      <c r="H155" s="339">
        <f>'6.Cons Profit &amp; Loss'!G8*(1-$M$126)</f>
        <v>58642879.305559799</v>
      </c>
      <c r="I155" s="339">
        <f>'6.Cons Profit &amp; Loss'!H8*(1-$M$126)</f>
        <v>68454292.085627124</v>
      </c>
    </row>
    <row r="156" spans="2:15">
      <c r="B156" s="74" t="str">
        <f t="shared" si="20"/>
        <v>Faclitiy 2 - Processing Unit- Cleaning Grading</v>
      </c>
      <c r="C156" s="339">
        <f>'6.Cons Profit &amp; Loss'!B9*(1-$M$126)</f>
        <v>26318106.837287996</v>
      </c>
      <c r="D156" s="339">
        <f>'6.Cons Profit &amp; Loss'!C9*(1-$M$126)</f>
        <v>34567914.81132675</v>
      </c>
      <c r="E156" s="339">
        <f>'6.Cons Profit &amp; Loss'!D9*(1-$M$126)</f>
        <v>43555572.662271701</v>
      </c>
      <c r="F156" s="339">
        <f>'6.Cons Profit &amp; Loss'!E9*(1-$M$126)</f>
        <v>53355576.511282831</v>
      </c>
      <c r="G156" s="339">
        <f>'6.Cons Profit &amp; Loss'!F9*(1-$M$126)</f>
        <v>64026691.813539416</v>
      </c>
      <c r="H156" s="339">
        <f>'6.Cons Profit &amp; Loss'!G9*(1-$M$126)</f>
        <v>75631529.70474343</v>
      </c>
      <c r="I156" s="339">
        <f>'6.Cons Profit &amp; Loss'!H9*(1-$M$126)</f>
        <v>88236784.655533999</v>
      </c>
    </row>
    <row r="157" spans="2:15">
      <c r="B157" s="74" t="str">
        <f t="shared" si="20"/>
        <v>Faclitiy 3 - Warehouse</v>
      </c>
      <c r="C157" s="339">
        <f>'6.Cons Profit &amp; Loss'!B10*(1-$M$126)</f>
        <v>1292760</v>
      </c>
      <c r="D157" s="339">
        <f>'6.Cons Profit &amp; Loss'!C10*(1-$M$126)</f>
        <v>1454355</v>
      </c>
      <c r="E157" s="339">
        <f>'6.Cons Profit &amp; Loss'!D10*(1-$M$126)</f>
        <v>1628877.5999999999</v>
      </c>
      <c r="F157" s="339">
        <f>'6.Cons Profit &amp; Loss'!E10*(1-$M$126)</f>
        <v>1817216.5725000005</v>
      </c>
      <c r="G157" s="339">
        <f>'6.Cons Profit &amp; Loss'!F10*(1-$M$126)</f>
        <v>2020317.2482500006</v>
      </c>
      <c r="H157" s="339">
        <f>'6.Cons Profit &amp; Loss'!G10*(1-$M$126)</f>
        <v>2121333.1106625008</v>
      </c>
      <c r="I157" s="339">
        <f>'6.Cons Profit &amp; Loss'!H10*(1-$M$126)</f>
        <v>2227399.766195626</v>
      </c>
    </row>
    <row r="158" spans="2:15">
      <c r="B158" s="74" t="str">
        <f t="shared" si="20"/>
        <v xml:space="preserve">Faclitiy 4 - Custom Hiring </v>
      </c>
      <c r="C158" s="339">
        <f>'6.Cons Profit &amp; Loss'!B11*(1-$M$126)</f>
        <v>0</v>
      </c>
      <c r="D158" s="339">
        <f>'6.Cons Profit &amp; Loss'!C11*(1-$M$126)</f>
        <v>0</v>
      </c>
      <c r="E158" s="339">
        <f>'6.Cons Profit &amp; Loss'!D11*(1-$M$126)</f>
        <v>0</v>
      </c>
      <c r="F158" s="339">
        <f>'6.Cons Profit &amp; Loss'!E11*(1-$M$126)</f>
        <v>0</v>
      </c>
      <c r="G158" s="339">
        <f>'6.Cons Profit &amp; Loss'!F11*(1-$M$126)</f>
        <v>0</v>
      </c>
      <c r="H158" s="339">
        <f>'6.Cons Profit &amp; Loss'!G11*(1-$M$126)</f>
        <v>0</v>
      </c>
      <c r="I158" s="339">
        <f>'6.Cons Profit &amp; Loss'!H11*(1-$M$126)</f>
        <v>0</v>
      </c>
    </row>
    <row r="159" spans="2:15">
      <c r="B159" s="74" t="str">
        <f t="shared" si="20"/>
        <v>Faclitiy 5 - Agri Input Centre</v>
      </c>
      <c r="C159" s="339">
        <f>'6.Cons Profit &amp; Loss'!B12*(1-$M$126)</f>
        <v>0</v>
      </c>
      <c r="D159" s="339">
        <f>'6.Cons Profit &amp; Loss'!C12*(1-$M$126)</f>
        <v>0</v>
      </c>
      <c r="E159" s="339">
        <f>'6.Cons Profit &amp; Loss'!D12*(1-$M$126)</f>
        <v>0</v>
      </c>
      <c r="F159" s="339">
        <f>'6.Cons Profit &amp; Loss'!E12*(1-$M$126)</f>
        <v>0</v>
      </c>
      <c r="G159" s="339">
        <f>'6.Cons Profit &amp; Loss'!F12*(1-$M$126)</f>
        <v>0</v>
      </c>
      <c r="H159" s="339">
        <f>'6.Cons Profit &amp; Loss'!G12*(1-$M$126)</f>
        <v>0</v>
      </c>
      <c r="I159" s="339">
        <f>'6.Cons Profit &amp; Loss'!H12*(1-$M$126)</f>
        <v>0</v>
      </c>
    </row>
    <row r="160" spans="2:15">
      <c r="B160" s="74" t="str">
        <f t="shared" si="20"/>
        <v>Facility 6 - Processing Unit - Horti Commodity</v>
      </c>
      <c r="C160" s="339">
        <f>'6.Cons Profit &amp; Loss'!B13*(1-$M$126)</f>
        <v>0</v>
      </c>
      <c r="D160" s="339">
        <f>'6.Cons Profit &amp; Loss'!C13*(1-$M$126)</f>
        <v>0</v>
      </c>
      <c r="E160" s="339">
        <f>'6.Cons Profit &amp; Loss'!D13*(1-$M$126)</f>
        <v>0</v>
      </c>
      <c r="F160" s="339">
        <f>'6.Cons Profit &amp; Loss'!E13*(1-$M$126)</f>
        <v>0</v>
      </c>
      <c r="G160" s="339">
        <f>'6.Cons Profit &amp; Loss'!F13*(1-$M$126)</f>
        <v>0</v>
      </c>
      <c r="H160" s="339">
        <f>'6.Cons Profit &amp; Loss'!G13*(1-$M$126)</f>
        <v>0</v>
      </c>
      <c r="I160" s="339">
        <f>'6.Cons Profit &amp; Loss'!H13*(1-$M$126)</f>
        <v>0</v>
      </c>
    </row>
    <row r="161" spans="2:9">
      <c r="B161" s="74">
        <f t="shared" si="20"/>
        <v>0</v>
      </c>
      <c r="C161" s="339">
        <f>'6.Cons Profit &amp; Loss'!B14*(1-$M$126)</f>
        <v>0</v>
      </c>
      <c r="D161" s="339">
        <f>'6.Cons Profit &amp; Loss'!C14*(1-$M$126)</f>
        <v>0</v>
      </c>
      <c r="E161" s="339">
        <f>'6.Cons Profit &amp; Loss'!D14*(1-$M$126)</f>
        <v>0</v>
      </c>
      <c r="F161" s="339">
        <f>'6.Cons Profit &amp; Loss'!E14*(1-$M$126)</f>
        <v>0</v>
      </c>
      <c r="G161" s="339">
        <f>'6.Cons Profit &amp; Loss'!F14*(1-$M$126)</f>
        <v>0</v>
      </c>
      <c r="H161" s="339">
        <f>'6.Cons Profit &amp; Loss'!G14*(1-$M$126)</f>
        <v>0</v>
      </c>
      <c r="I161" s="339">
        <f>'6.Cons Profit &amp; Loss'!H14*(1-$M$126)</f>
        <v>0</v>
      </c>
    </row>
    <row r="162" spans="2:9">
      <c r="B162" s="74" t="s">
        <v>359</v>
      </c>
      <c r="C162" s="339">
        <f>SUM(C155:C161)</f>
        <v>47134466.658783145</v>
      </c>
      <c r="D162" s="339">
        <f t="shared" ref="D162:I162" si="21">SUM(D155:D161)</f>
        <v>62707563.254700832</v>
      </c>
      <c r="E162" s="339">
        <f t="shared" si="21"/>
        <v>78863599.856500268</v>
      </c>
      <c r="F162" s="339">
        <f t="shared" si="21"/>
        <v>96478471.210342929</v>
      </c>
      <c r="G162" s="339">
        <f t="shared" si="21"/>
        <v>115657670.69992861</v>
      </c>
      <c r="H162" s="339">
        <f t="shared" si="21"/>
        <v>136395742.12096572</v>
      </c>
      <c r="I162" s="339">
        <f t="shared" si="21"/>
        <v>158918476.50735673</v>
      </c>
    </row>
    <row r="163" spans="2:9">
      <c r="B163" s="74" t="s">
        <v>360</v>
      </c>
      <c r="C163" s="339"/>
      <c r="D163" s="339"/>
      <c r="E163" s="339"/>
      <c r="F163" s="339"/>
      <c r="G163" s="339"/>
      <c r="H163" s="339"/>
      <c r="I163" s="339"/>
    </row>
    <row r="164" spans="2:9">
      <c r="B164" s="74" t="s">
        <v>361</v>
      </c>
      <c r="C164" s="339">
        <f>'6.Cons Profit &amp; Loss'!B36</f>
        <v>3473200</v>
      </c>
      <c r="D164" s="339">
        <f>'6.Cons Profit &amp; Loss'!C36</f>
        <v>3646860</v>
      </c>
      <c r="E164" s="339">
        <f>'6.Cons Profit &amp; Loss'!D36</f>
        <v>3829203</v>
      </c>
      <c r="F164" s="339">
        <f>'6.Cons Profit &amp; Loss'!E36</f>
        <v>4020663.1500000004</v>
      </c>
      <c r="G164" s="339">
        <f>'6.Cons Profit &amp; Loss'!F36</f>
        <v>4221696.3075000001</v>
      </c>
      <c r="H164" s="339">
        <f>'6.Cons Profit &amp; Loss'!G36</f>
        <v>4432781.1228750004</v>
      </c>
      <c r="I164" s="339">
        <f>'6.Cons Profit &amp; Loss'!H36</f>
        <v>4654420.1790187517</v>
      </c>
    </row>
    <row r="165" spans="2:9">
      <c r="B165" s="74" t="s">
        <v>316</v>
      </c>
      <c r="C165" s="339">
        <f>'6.Cons Profit &amp; Loss'!B25*(1-$M$126)</f>
        <v>40013889.807272553</v>
      </c>
      <c r="D165" s="339">
        <f>'6.Cons Profit &amp; Loss'!C25*(1-$M$126)</f>
        <v>54413164.713110425</v>
      </c>
      <c r="E165" s="339">
        <f>'6.Cons Profit &amp; Loss'!D25*(1-$M$126)</f>
        <v>68556927.955322713</v>
      </c>
      <c r="F165" s="339">
        <f>'6.Cons Profit &amp; Loss'!E25*(1-$M$126)</f>
        <v>83979197.536781222</v>
      </c>
      <c r="G165" s="339">
        <f>'6.Cons Profit &amp; Loss'!F25*(1-$M$126)</f>
        <v>100772301.75649732</v>
      </c>
      <c r="H165" s="339">
        <f>'6.Cons Profit &amp; Loss'!G25*(1-$M$126)</f>
        <v>119034768.40434307</v>
      </c>
      <c r="I165" s="339">
        <f>'6.Cons Profit &amp; Loss'!H25*(1-$M$126)</f>
        <v>138871550.96258217</v>
      </c>
    </row>
    <row r="166" spans="2:9">
      <c r="B166" s="74" t="s">
        <v>362</v>
      </c>
      <c r="C166" s="339">
        <f t="shared" ref="C166:I166" si="22">SUM(C164:C165)</f>
        <v>43487089.807272553</v>
      </c>
      <c r="D166" s="339">
        <f t="shared" si="22"/>
        <v>58060024.713110425</v>
      </c>
      <c r="E166" s="339">
        <f t="shared" si="22"/>
        <v>72386130.955322713</v>
      </c>
      <c r="F166" s="339">
        <f t="shared" si="22"/>
        <v>87999860.686781228</v>
      </c>
      <c r="G166" s="339">
        <f t="shared" si="22"/>
        <v>104993998.06399733</v>
      </c>
      <c r="H166" s="339">
        <f t="shared" si="22"/>
        <v>123467549.52721807</v>
      </c>
      <c r="I166" s="339">
        <f t="shared" si="22"/>
        <v>143525971.14160094</v>
      </c>
    </row>
    <row r="167" spans="2:9">
      <c r="B167" s="77" t="s">
        <v>363</v>
      </c>
      <c r="C167" s="341">
        <f t="shared" ref="C167:I167" si="23">+C162-C166</f>
        <v>3647376.8515105918</v>
      </c>
      <c r="D167" s="341">
        <f t="shared" si="23"/>
        <v>4647538.5415904075</v>
      </c>
      <c r="E167" s="341">
        <f t="shared" si="23"/>
        <v>6477468.9011775553</v>
      </c>
      <c r="F167" s="341">
        <f t="shared" si="23"/>
        <v>8478610.5235617012</v>
      </c>
      <c r="G167" s="341">
        <f t="shared" si="23"/>
        <v>10663672.635931283</v>
      </c>
      <c r="H167" s="341">
        <f t="shared" si="23"/>
        <v>12928192.593747646</v>
      </c>
      <c r="I167" s="341">
        <f t="shared" si="23"/>
        <v>15392505.365755796</v>
      </c>
    </row>
    <row r="168" spans="2:9">
      <c r="B168" s="13"/>
      <c r="C168" s="80"/>
      <c r="D168" s="80"/>
      <c r="E168" s="80"/>
      <c r="F168" s="80"/>
      <c r="G168" s="80"/>
      <c r="H168" s="80"/>
      <c r="I168" s="80"/>
    </row>
    <row r="169" spans="2:9">
      <c r="B169" s="82" t="s">
        <v>366</v>
      </c>
      <c r="C169" s="83" t="s">
        <v>2</v>
      </c>
      <c r="D169" s="83" t="s">
        <v>3</v>
      </c>
      <c r="E169" s="83" t="s">
        <v>4</v>
      </c>
      <c r="F169" s="83" t="s">
        <v>5</v>
      </c>
      <c r="G169" s="83" t="s">
        <v>6</v>
      </c>
      <c r="H169" s="83" t="s">
        <v>171</v>
      </c>
      <c r="I169" s="83" t="s">
        <v>170</v>
      </c>
    </row>
    <row r="170" spans="2:9">
      <c r="B170" s="74" t="str">
        <f t="shared" ref="B170:B176" si="24">B155</f>
        <v>Faclitiy 1 - Trading</v>
      </c>
      <c r="C170" s="76">
        <f>'6.Cons Profit &amp; Loss'!B8</f>
        <v>20551157.706836998</v>
      </c>
      <c r="D170" s="76">
        <f>'6.Cons Profit &amp; Loss'!C8</f>
        <v>28089782.57197272</v>
      </c>
      <c r="E170" s="76">
        <f>'6.Cons Profit &amp; Loss'!D8</f>
        <v>35451736.414977446</v>
      </c>
      <c r="F170" s="76">
        <f>'6.Cons Profit &amp; Loss'!E8</f>
        <v>43479661.185852736</v>
      </c>
      <c r="G170" s="76">
        <f>'6.Cons Profit &amp; Loss'!F8</f>
        <v>52221749.092778094</v>
      </c>
      <c r="H170" s="76">
        <f>'6.Cons Profit &amp; Loss'!G8</f>
        <v>61729346.637431368</v>
      </c>
      <c r="I170" s="76">
        <f>'6.Cons Profit &amp; Loss'!H8</f>
        <v>72057149.563818023</v>
      </c>
    </row>
    <row r="171" spans="2:9">
      <c r="B171" s="74" t="str">
        <f t="shared" si="24"/>
        <v>Faclitiy 2 - Processing Unit- Cleaning Grading</v>
      </c>
      <c r="C171" s="76">
        <f>'6.Cons Profit &amp; Loss'!B9</f>
        <v>27703270.355039999</v>
      </c>
      <c r="D171" s="76">
        <f>'6.Cons Profit &amp; Loss'!C9</f>
        <v>36387278.748764999</v>
      </c>
      <c r="E171" s="76">
        <f>'6.Cons Profit &amp; Loss'!D9</f>
        <v>45847971.223443896</v>
      </c>
      <c r="F171" s="76">
        <f>'6.Cons Profit &amp; Loss'!E9</f>
        <v>56163764.748718776</v>
      </c>
      <c r="G171" s="76">
        <f>'6.Cons Profit &amp; Loss'!F9</f>
        <v>67396517.698462546</v>
      </c>
      <c r="H171" s="76">
        <f>'6.Cons Profit &amp; Loss'!G9</f>
        <v>79612136.531308874</v>
      </c>
      <c r="I171" s="76">
        <f>'6.Cons Profit &amp; Loss'!H9</f>
        <v>92880825.953193694</v>
      </c>
    </row>
    <row r="172" spans="2:9">
      <c r="B172" s="74" t="str">
        <f t="shared" si="24"/>
        <v>Faclitiy 3 - Warehouse</v>
      </c>
      <c r="C172" s="76">
        <f>'6.Cons Profit &amp; Loss'!B10</f>
        <v>1360800</v>
      </c>
      <c r="D172" s="76">
        <f>'6.Cons Profit &amp; Loss'!C10</f>
        <v>1530900</v>
      </c>
      <c r="E172" s="76">
        <f>'6.Cons Profit &amp; Loss'!D10</f>
        <v>1714608</v>
      </c>
      <c r="F172" s="76">
        <f>'6.Cons Profit &amp; Loss'!E10</f>
        <v>1912859.5500000005</v>
      </c>
      <c r="G172" s="76">
        <f>'6.Cons Profit &amp; Loss'!F10</f>
        <v>2126649.7350000008</v>
      </c>
      <c r="H172" s="76">
        <f>'6.Cons Profit &amp; Loss'!G10</f>
        <v>2232982.221750001</v>
      </c>
      <c r="I172" s="76">
        <f>'6.Cons Profit &amp; Loss'!H10</f>
        <v>2344631.3328375011</v>
      </c>
    </row>
    <row r="173" spans="2:9">
      <c r="B173" s="74" t="str">
        <f t="shared" si="24"/>
        <v xml:space="preserve">Faclitiy 4 - Custom Hiring </v>
      </c>
      <c r="C173" s="76">
        <f>'6.Cons Profit &amp; Loss'!B11</f>
        <v>0</v>
      </c>
      <c r="D173" s="76">
        <f>'6.Cons Profit &amp; Loss'!C11</f>
        <v>0</v>
      </c>
      <c r="E173" s="76">
        <f>'6.Cons Profit &amp; Loss'!D11</f>
        <v>0</v>
      </c>
      <c r="F173" s="76">
        <f>'6.Cons Profit &amp; Loss'!E11</f>
        <v>0</v>
      </c>
      <c r="G173" s="76">
        <f>'6.Cons Profit &amp; Loss'!F11</f>
        <v>0</v>
      </c>
      <c r="H173" s="76">
        <f>'6.Cons Profit &amp; Loss'!G11</f>
        <v>0</v>
      </c>
      <c r="I173" s="76">
        <f>'6.Cons Profit &amp; Loss'!H11</f>
        <v>0</v>
      </c>
    </row>
    <row r="174" spans="2:9">
      <c r="B174" s="74" t="str">
        <f t="shared" si="24"/>
        <v>Faclitiy 5 - Agri Input Centre</v>
      </c>
      <c r="C174" s="76">
        <f>'6.Cons Profit &amp; Loss'!B12</f>
        <v>0</v>
      </c>
      <c r="D174" s="76">
        <f>'6.Cons Profit &amp; Loss'!C12</f>
        <v>0</v>
      </c>
      <c r="E174" s="76">
        <f>'6.Cons Profit &amp; Loss'!D12</f>
        <v>0</v>
      </c>
      <c r="F174" s="76">
        <f>'6.Cons Profit &amp; Loss'!E12</f>
        <v>0</v>
      </c>
      <c r="G174" s="76">
        <f>'6.Cons Profit &amp; Loss'!F12</f>
        <v>0</v>
      </c>
      <c r="H174" s="76">
        <f>'6.Cons Profit &amp; Loss'!G12</f>
        <v>0</v>
      </c>
      <c r="I174" s="76">
        <f>'6.Cons Profit &amp; Loss'!H12</f>
        <v>0</v>
      </c>
    </row>
    <row r="175" spans="2:9">
      <c r="B175" s="74" t="str">
        <f t="shared" si="24"/>
        <v>Facility 6 - Processing Unit - Horti Commodity</v>
      </c>
      <c r="C175" s="76">
        <f>'6.Cons Profit &amp; Loss'!B13</f>
        <v>0</v>
      </c>
      <c r="D175" s="76">
        <f>'6.Cons Profit &amp; Loss'!C13</f>
        <v>0</v>
      </c>
      <c r="E175" s="76">
        <f>'6.Cons Profit &amp; Loss'!D13</f>
        <v>0</v>
      </c>
      <c r="F175" s="76">
        <f>'6.Cons Profit &amp; Loss'!E13</f>
        <v>0</v>
      </c>
      <c r="G175" s="76">
        <f>'6.Cons Profit &amp; Loss'!F13</f>
        <v>0</v>
      </c>
      <c r="H175" s="76">
        <f>'6.Cons Profit &amp; Loss'!G13</f>
        <v>0</v>
      </c>
      <c r="I175" s="76">
        <f>'6.Cons Profit &amp; Loss'!H13</f>
        <v>0</v>
      </c>
    </row>
    <row r="176" spans="2:9">
      <c r="B176" s="74">
        <f t="shared" si="24"/>
        <v>0</v>
      </c>
      <c r="C176" s="76">
        <f>'6.Cons Profit &amp; Loss'!B14</f>
        <v>0</v>
      </c>
      <c r="D176" s="76">
        <f>'6.Cons Profit &amp; Loss'!C14</f>
        <v>0</v>
      </c>
      <c r="E176" s="76">
        <f>'6.Cons Profit &amp; Loss'!D14</f>
        <v>0</v>
      </c>
      <c r="F176" s="76">
        <f>'6.Cons Profit &amp; Loss'!E14</f>
        <v>0</v>
      </c>
      <c r="G176" s="76">
        <f>'6.Cons Profit &amp; Loss'!F14</f>
        <v>0</v>
      </c>
      <c r="H176" s="76">
        <f>'6.Cons Profit &amp; Loss'!G14</f>
        <v>0</v>
      </c>
      <c r="I176" s="76">
        <f>'6.Cons Profit &amp; Loss'!H14</f>
        <v>0</v>
      </c>
    </row>
    <row r="177" spans="2:13">
      <c r="B177" s="74" t="s">
        <v>359</v>
      </c>
      <c r="C177" s="76">
        <f>SUM(C170:C176)</f>
        <v>49615228.061876997</v>
      </c>
      <c r="D177" s="76">
        <f t="shared" ref="D177:I177" si="25">SUM(D170:D176)</f>
        <v>66007961.32073772</v>
      </c>
      <c r="E177" s="76">
        <f t="shared" si="25"/>
        <v>83014315.638421342</v>
      </c>
      <c r="F177" s="76">
        <f t="shared" si="25"/>
        <v>101556285.4845715</v>
      </c>
      <c r="G177" s="76">
        <f t="shared" si="25"/>
        <v>121744916.52624063</v>
      </c>
      <c r="H177" s="76">
        <f t="shared" si="25"/>
        <v>143574465.39049023</v>
      </c>
      <c r="I177" s="76">
        <f t="shared" si="25"/>
        <v>167282606.84984919</v>
      </c>
    </row>
    <row r="178" spans="2:13">
      <c r="B178" s="74" t="s">
        <v>360</v>
      </c>
      <c r="C178" s="76"/>
      <c r="D178" s="76"/>
      <c r="E178" s="76"/>
      <c r="F178" s="76"/>
      <c r="G178" s="76"/>
      <c r="H178" s="76"/>
      <c r="I178" s="76"/>
    </row>
    <row r="179" spans="2:13">
      <c r="B179" s="74" t="s">
        <v>361</v>
      </c>
      <c r="C179" s="76">
        <f>'6.Cons Profit &amp; Loss'!B36</f>
        <v>3473200</v>
      </c>
      <c r="D179" s="76">
        <f>'6.Cons Profit &amp; Loss'!C36</f>
        <v>3646860</v>
      </c>
      <c r="E179" s="76">
        <f>'6.Cons Profit &amp; Loss'!D36</f>
        <v>3829203</v>
      </c>
      <c r="F179" s="76">
        <f>'6.Cons Profit &amp; Loss'!E36</f>
        <v>4020663.1500000004</v>
      </c>
      <c r="G179" s="76">
        <f>'6.Cons Profit &amp; Loss'!F36</f>
        <v>4221696.3075000001</v>
      </c>
      <c r="H179" s="76">
        <f>'6.Cons Profit &amp; Loss'!G36</f>
        <v>4432781.1228750004</v>
      </c>
      <c r="I179" s="76">
        <f>'6.Cons Profit &amp; Loss'!H36</f>
        <v>4654420.1790187517</v>
      </c>
    </row>
    <row r="180" spans="2:13">
      <c r="B180" s="74" t="s">
        <v>316</v>
      </c>
      <c r="C180" s="76">
        <f>'6.Cons Profit &amp; Loss'!B25*(1-$M$127)</f>
        <v>40013889.807272553</v>
      </c>
      <c r="D180" s="76">
        <f>'6.Cons Profit &amp; Loss'!C25*(1-$M$127)</f>
        <v>54413164.713110425</v>
      </c>
      <c r="E180" s="76">
        <f>'6.Cons Profit &amp; Loss'!D25*(1-$M$127)</f>
        <v>68556927.955322713</v>
      </c>
      <c r="F180" s="76">
        <f>'6.Cons Profit &amp; Loss'!E25*(1-$M$127)</f>
        <v>83979197.536781222</v>
      </c>
      <c r="G180" s="76">
        <f>'6.Cons Profit &amp; Loss'!F25*(1-$M$127)</f>
        <v>100772301.75649732</v>
      </c>
      <c r="H180" s="76">
        <f>'6.Cons Profit &amp; Loss'!G25*(1-$M$127)</f>
        <v>119034768.40434307</v>
      </c>
      <c r="I180" s="76">
        <f>'6.Cons Profit &amp; Loss'!H25*(1-$M$127)</f>
        <v>138871550.96258217</v>
      </c>
    </row>
    <row r="181" spans="2:13">
      <c r="B181" s="74" t="s">
        <v>362</v>
      </c>
      <c r="C181" s="76">
        <f t="shared" ref="C181:I181" si="26">SUM(C179:C180)</f>
        <v>43487089.807272553</v>
      </c>
      <c r="D181" s="76">
        <f t="shared" si="26"/>
        <v>58060024.713110425</v>
      </c>
      <c r="E181" s="76">
        <f t="shared" si="26"/>
        <v>72386130.955322713</v>
      </c>
      <c r="F181" s="76">
        <f t="shared" si="26"/>
        <v>87999860.686781228</v>
      </c>
      <c r="G181" s="76">
        <f t="shared" si="26"/>
        <v>104993998.06399733</v>
      </c>
      <c r="H181" s="76">
        <f t="shared" si="26"/>
        <v>123467549.52721807</v>
      </c>
      <c r="I181" s="76">
        <f t="shared" si="26"/>
        <v>143525971.14160094</v>
      </c>
    </row>
    <row r="182" spans="2:13">
      <c r="B182" s="77" t="s">
        <v>363</v>
      </c>
      <c r="C182" s="340">
        <f t="shared" ref="C182:I182" si="27">+C177-C181</f>
        <v>6128138.2546044439</v>
      </c>
      <c r="D182" s="340">
        <f t="shared" si="27"/>
        <v>7947936.607627295</v>
      </c>
      <c r="E182" s="340">
        <f t="shared" si="27"/>
        <v>10628184.683098629</v>
      </c>
      <c r="F182" s="340">
        <f t="shared" si="27"/>
        <v>13556424.797790274</v>
      </c>
      <c r="G182" s="340">
        <f t="shared" si="27"/>
        <v>16750918.462243304</v>
      </c>
      <c r="H182" s="340">
        <f t="shared" si="27"/>
        <v>20106915.86327216</v>
      </c>
      <c r="I182" s="340">
        <f t="shared" si="27"/>
        <v>23756635.708248258</v>
      </c>
    </row>
    <row r="184" spans="2:13" ht="41.1" customHeight="1">
      <c r="B184" s="450" t="s">
        <v>554</v>
      </c>
      <c r="C184" s="450"/>
      <c r="D184" s="450"/>
      <c r="E184" s="450"/>
      <c r="F184" s="450"/>
      <c r="G184" s="450"/>
      <c r="H184" s="450"/>
      <c r="I184" s="450"/>
      <c r="J184" s="347"/>
      <c r="K184" s="347"/>
      <c r="L184" s="347"/>
      <c r="M184" s="347"/>
    </row>
  </sheetData>
  <mergeCells count="20">
    <mergeCell ref="B5:J5"/>
    <mergeCell ref="B26:I26"/>
    <mergeCell ref="B54:I54"/>
    <mergeCell ref="B24:J24"/>
    <mergeCell ref="B51:J51"/>
    <mergeCell ref="B184:I184"/>
    <mergeCell ref="B123:I123"/>
    <mergeCell ref="K123:R123"/>
    <mergeCell ref="D20:J20"/>
    <mergeCell ref="D22:J22"/>
    <mergeCell ref="B75:J75"/>
    <mergeCell ref="B88:I88"/>
    <mergeCell ref="B103:J103"/>
    <mergeCell ref="B121:J121"/>
    <mergeCell ref="B105:I105"/>
    <mergeCell ref="B76:I76"/>
    <mergeCell ref="C82:I82"/>
    <mergeCell ref="C83:I83"/>
    <mergeCell ref="C85:I85"/>
    <mergeCell ref="B90:J90"/>
  </mergeCells>
  <hyperlinks>
    <hyperlink ref="B24" r:id="rId1" display="https://www.investopedia.com/terms/d/discountrate.asp"/>
  </hyperlinks>
  <pageMargins left="0.7" right="0.7" top="0.75" bottom="0.75" header="0.3" footer="0.3"/>
  <pageSetup scale="71" orientation="landscape"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9"/>
  <sheetViews>
    <sheetView view="pageBreakPreview" zoomScale="85" zoomScaleSheetLayoutView="85" workbookViewId="0">
      <selection activeCell="B9" sqref="B9"/>
    </sheetView>
  </sheetViews>
  <sheetFormatPr defaultRowHeight="15"/>
  <cols>
    <col min="1" max="1" width="49.140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17" t="s">
        <v>612</v>
      </c>
      <c r="B1" s="417"/>
      <c r="C1" s="417"/>
      <c r="D1" s="417"/>
      <c r="E1" s="417"/>
      <c r="F1" s="417"/>
      <c r="G1" s="417"/>
      <c r="H1" s="417"/>
    </row>
    <row r="2" spans="1:26">
      <c r="B2" s="4"/>
    </row>
    <row r="3" spans="1:26" ht="18.75">
      <c r="A3" s="462" t="s">
        <v>583</v>
      </c>
      <c r="B3" s="462"/>
    </row>
    <row r="4" spans="1:26">
      <c r="A4" s="293" t="s">
        <v>0</v>
      </c>
      <c r="B4" s="311" t="s">
        <v>399</v>
      </c>
      <c r="C4" s="312"/>
      <c r="D4" s="312"/>
      <c r="E4" s="312"/>
      <c r="F4" s="312"/>
      <c r="G4" s="312"/>
      <c r="H4" s="312"/>
    </row>
    <row r="5" spans="1:26">
      <c r="A5" s="10" t="s">
        <v>509</v>
      </c>
      <c r="B5" s="289">
        <v>1459</v>
      </c>
      <c r="C5" s="313"/>
      <c r="D5" s="314"/>
      <c r="E5" s="314"/>
      <c r="F5" s="314"/>
      <c r="G5" s="314"/>
      <c r="H5" s="314"/>
    </row>
    <row r="6" spans="1:26">
      <c r="A6" s="10" t="s">
        <v>510</v>
      </c>
      <c r="B6" s="289">
        <v>250</v>
      </c>
      <c r="C6" s="313"/>
      <c r="D6" s="314"/>
      <c r="E6" s="314"/>
      <c r="F6" s="314"/>
      <c r="G6" s="314"/>
      <c r="H6" s="314"/>
    </row>
    <row r="7" spans="1:26">
      <c r="A7" s="2" t="s">
        <v>1</v>
      </c>
      <c r="B7" s="337">
        <f>B5+B6</f>
        <v>1709</v>
      </c>
      <c r="C7" s="315"/>
      <c r="D7" s="316"/>
      <c r="E7" s="316"/>
      <c r="F7" s="316"/>
      <c r="G7" s="316"/>
      <c r="H7" s="316"/>
    </row>
    <row r="8" spans="1:26">
      <c r="A8" s="2" t="s">
        <v>511</v>
      </c>
      <c r="B8" s="336">
        <v>2.58</v>
      </c>
      <c r="C8" s="315"/>
      <c r="D8" s="315"/>
      <c r="E8" s="315"/>
      <c r="F8" s="315"/>
      <c r="G8" s="315"/>
      <c r="H8" s="315"/>
    </row>
    <row r="9" spans="1:26">
      <c r="A9" s="2" t="s">
        <v>516</v>
      </c>
      <c r="B9" s="337">
        <f>B7*B8</f>
        <v>4409.22</v>
      </c>
      <c r="C9" s="316"/>
      <c r="D9" s="316"/>
      <c r="E9" s="316"/>
      <c r="F9" s="316"/>
      <c r="G9" s="316"/>
      <c r="H9" s="316"/>
    </row>
    <row r="10" spans="1:26">
      <c r="J10" t="s">
        <v>464</v>
      </c>
      <c r="O10" t="s">
        <v>460</v>
      </c>
      <c r="U10" t="s">
        <v>461</v>
      </c>
      <c r="Y10" t="s">
        <v>462</v>
      </c>
      <c r="Z10" t="s">
        <v>463</v>
      </c>
    </row>
    <row r="11" spans="1:26" ht="18.75">
      <c r="A11" s="417" t="s">
        <v>584</v>
      </c>
      <c r="B11" s="417"/>
      <c r="C11" s="417"/>
      <c r="D11" s="417"/>
      <c r="E11" s="417"/>
      <c r="F11" s="417"/>
      <c r="G11" s="417"/>
      <c r="H11" s="417"/>
      <c r="I11" s="288"/>
      <c r="J11" s="288"/>
      <c r="K11" s="288"/>
      <c r="L11" s="288"/>
      <c r="M11" s="288"/>
      <c r="N11" s="288"/>
      <c r="O11" s="288"/>
      <c r="P11" s="288"/>
    </row>
    <row r="12" spans="1:26">
      <c r="J12" s="3">
        <v>0.65</v>
      </c>
      <c r="K12" s="307">
        <f>J12+0.05</f>
        <v>0.70000000000000007</v>
      </c>
      <c r="L12" s="307">
        <f t="shared" ref="L12:N12" si="0">K12+0.05</f>
        <v>0.75000000000000011</v>
      </c>
      <c r="M12" s="307">
        <f t="shared" si="0"/>
        <v>0.80000000000000016</v>
      </c>
      <c r="N12" s="307">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3" t="s">
        <v>403</v>
      </c>
      <c r="B13" s="293" t="s">
        <v>404</v>
      </c>
      <c r="C13" s="294" t="s">
        <v>457</v>
      </c>
      <c r="D13" s="294" t="s">
        <v>465</v>
      </c>
      <c r="E13" s="294" t="s">
        <v>466</v>
      </c>
      <c r="F13" s="294" t="s">
        <v>405</v>
      </c>
      <c r="G13" s="294" t="s">
        <v>656</v>
      </c>
      <c r="H13" s="294" t="s">
        <v>406</v>
      </c>
      <c r="O13" s="306" t="s">
        <v>2</v>
      </c>
      <c r="P13" s="306" t="s">
        <v>3</v>
      </c>
      <c r="Q13" s="306" t="s">
        <v>4</v>
      </c>
      <c r="R13" s="306" t="s">
        <v>5</v>
      </c>
      <c r="S13" s="306" t="s">
        <v>6</v>
      </c>
      <c r="T13" s="306" t="s">
        <v>2</v>
      </c>
      <c r="U13" s="306" t="s">
        <v>3</v>
      </c>
      <c r="V13" s="306" t="s">
        <v>4</v>
      </c>
      <c r="W13" s="306" t="s">
        <v>5</v>
      </c>
      <c r="X13" s="306" t="s">
        <v>6</v>
      </c>
    </row>
    <row r="14" spans="1:26">
      <c r="A14" s="466" t="s">
        <v>407</v>
      </c>
      <c r="B14" s="289" t="s">
        <v>169</v>
      </c>
      <c r="C14" s="304">
        <v>0.3</v>
      </c>
      <c r="D14" s="10">
        <f t="shared" ref="D14:D22" si="3">$B$9*C14</f>
        <v>1322.7660000000001</v>
      </c>
      <c r="E14" s="290">
        <v>10</v>
      </c>
      <c r="F14" s="10">
        <f>D14*E14</f>
        <v>13227.66</v>
      </c>
      <c r="G14" s="305">
        <v>0.05</v>
      </c>
      <c r="H14" s="10">
        <f>(F14-F14*G14)</f>
        <v>12566.277</v>
      </c>
      <c r="J14">
        <f>$D$14*J12</f>
        <v>859.79790000000003</v>
      </c>
      <c r="K14">
        <f>$D$14*K12</f>
        <v>925.9362000000001</v>
      </c>
      <c r="L14">
        <f>$D$14*L12</f>
        <v>992.07450000000017</v>
      </c>
      <c r="M14">
        <f>$D$14*M12</f>
        <v>1058.2128000000002</v>
      </c>
      <c r="N14">
        <f>$D$14*N12</f>
        <v>1124.3511000000003</v>
      </c>
    </row>
    <row r="15" spans="1:26">
      <c r="A15" s="467"/>
      <c r="B15" s="289" t="s">
        <v>489</v>
      </c>
      <c r="C15" s="304">
        <v>0</v>
      </c>
      <c r="D15" s="10">
        <f t="shared" si="3"/>
        <v>0</v>
      </c>
      <c r="E15" s="290">
        <v>7</v>
      </c>
      <c r="F15" s="10">
        <f t="shared" ref="F15:F36" si="4">D15*E15</f>
        <v>0</v>
      </c>
      <c r="G15" s="305">
        <v>0.05</v>
      </c>
      <c r="H15" s="10">
        <f>(F15-F15*G15)</f>
        <v>0</v>
      </c>
    </row>
    <row r="16" spans="1:26">
      <c r="A16" s="467"/>
      <c r="B16" s="289" t="s">
        <v>488</v>
      </c>
      <c r="C16" s="304">
        <v>0</v>
      </c>
      <c r="D16" s="10">
        <f t="shared" si="3"/>
        <v>0</v>
      </c>
      <c r="E16" s="290">
        <v>4</v>
      </c>
      <c r="F16" s="10">
        <f t="shared" si="4"/>
        <v>0</v>
      </c>
      <c r="G16" s="305">
        <v>0</v>
      </c>
      <c r="H16" s="10">
        <f t="shared" ref="H16:H36" si="5">(F16-F16*G16)</f>
        <v>0</v>
      </c>
    </row>
    <row r="17" spans="1:8">
      <c r="A17" s="467"/>
      <c r="B17" s="289" t="s">
        <v>486</v>
      </c>
      <c r="C17" s="304">
        <v>0.15</v>
      </c>
      <c r="D17" s="10">
        <f t="shared" si="3"/>
        <v>661.38300000000004</v>
      </c>
      <c r="E17" s="290">
        <v>7</v>
      </c>
      <c r="F17" s="10">
        <f t="shared" si="4"/>
        <v>4629.6810000000005</v>
      </c>
      <c r="G17" s="305">
        <v>0.02</v>
      </c>
      <c r="H17" s="10">
        <f t="shared" si="5"/>
        <v>4537.0873800000008</v>
      </c>
    </row>
    <row r="18" spans="1:8">
      <c r="A18" s="467"/>
      <c r="B18" s="289" t="s">
        <v>408</v>
      </c>
      <c r="C18" s="304">
        <v>0.4</v>
      </c>
      <c r="D18" s="10">
        <f t="shared" si="3"/>
        <v>1763.6880000000001</v>
      </c>
      <c r="E18" s="290">
        <v>20</v>
      </c>
      <c r="F18" s="10">
        <f t="shared" si="4"/>
        <v>35273.760000000002</v>
      </c>
      <c r="G18" s="305">
        <v>0</v>
      </c>
      <c r="H18" s="10">
        <f t="shared" si="5"/>
        <v>35273.760000000002</v>
      </c>
    </row>
    <row r="19" spans="1:8">
      <c r="A19" s="467"/>
      <c r="B19" s="289" t="s">
        <v>487</v>
      </c>
      <c r="C19" s="304">
        <v>0.1</v>
      </c>
      <c r="D19" s="10">
        <f t="shared" si="3"/>
        <v>440.92200000000003</v>
      </c>
      <c r="E19" s="290">
        <v>7</v>
      </c>
      <c r="F19" s="10">
        <f t="shared" si="4"/>
        <v>3086.4540000000002</v>
      </c>
      <c r="G19" s="305">
        <v>0.1</v>
      </c>
      <c r="H19" s="10">
        <f t="shared" si="5"/>
        <v>2777.8086000000003</v>
      </c>
    </row>
    <row r="20" spans="1:8">
      <c r="A20" s="467"/>
      <c r="B20" s="289" t="s">
        <v>480</v>
      </c>
      <c r="C20" s="304">
        <v>0</v>
      </c>
      <c r="D20" s="10">
        <f t="shared" si="3"/>
        <v>0</v>
      </c>
      <c r="E20" s="290">
        <v>6</v>
      </c>
      <c r="F20" s="10">
        <f t="shared" si="4"/>
        <v>0</v>
      </c>
      <c r="G20" s="305">
        <v>0.02</v>
      </c>
      <c r="H20" s="10">
        <f t="shared" si="5"/>
        <v>0</v>
      </c>
    </row>
    <row r="21" spans="1:8">
      <c r="A21" s="467"/>
      <c r="B21" s="289" t="s">
        <v>412</v>
      </c>
      <c r="C21" s="304">
        <v>0</v>
      </c>
      <c r="D21" s="10">
        <f t="shared" si="3"/>
        <v>0</v>
      </c>
      <c r="E21" s="290"/>
      <c r="F21" s="10">
        <f t="shared" si="4"/>
        <v>0</v>
      </c>
      <c r="G21" s="305">
        <v>0</v>
      </c>
      <c r="H21" s="10">
        <f t="shared" si="5"/>
        <v>0</v>
      </c>
    </row>
    <row r="22" spans="1:8">
      <c r="A22" s="468"/>
      <c r="B22" s="289" t="s">
        <v>490</v>
      </c>
      <c r="C22" s="304">
        <v>0</v>
      </c>
      <c r="D22" s="10">
        <f t="shared" si="3"/>
        <v>0</v>
      </c>
      <c r="E22" s="290"/>
      <c r="F22" s="10">
        <f t="shared" si="4"/>
        <v>0</v>
      </c>
      <c r="G22" s="305">
        <v>0</v>
      </c>
      <c r="H22" s="10">
        <f t="shared" si="5"/>
        <v>0</v>
      </c>
    </row>
    <row r="23" spans="1:8">
      <c r="A23" s="319" t="s">
        <v>494</v>
      </c>
      <c r="B23" s="329">
        <v>0.3</v>
      </c>
      <c r="C23" s="331">
        <f>B9*B23</f>
        <v>1322.7660000000001</v>
      </c>
      <c r="D23" s="10"/>
      <c r="E23" s="290"/>
      <c r="F23" s="10"/>
      <c r="G23" s="305"/>
      <c r="H23" s="10"/>
    </row>
    <row r="24" spans="1:8">
      <c r="A24" s="466" t="s">
        <v>409</v>
      </c>
      <c r="B24" s="289" t="s">
        <v>410</v>
      </c>
      <c r="C24" s="304">
        <v>0.3</v>
      </c>
      <c r="D24" s="10">
        <f>C$23*C24</f>
        <v>396.82980000000003</v>
      </c>
      <c r="E24" s="290">
        <v>10</v>
      </c>
      <c r="F24" s="10">
        <f t="shared" si="4"/>
        <v>3968.2980000000002</v>
      </c>
      <c r="G24" s="305">
        <v>0.1</v>
      </c>
      <c r="H24" s="10">
        <f t="shared" si="5"/>
        <v>3571.4682000000003</v>
      </c>
    </row>
    <row r="25" spans="1:8">
      <c r="A25" s="467"/>
      <c r="B25" s="289" t="s">
        <v>411</v>
      </c>
      <c r="C25" s="304">
        <v>0.5</v>
      </c>
      <c r="D25" s="10">
        <f>C$23*C25</f>
        <v>661.38300000000004</v>
      </c>
      <c r="E25" s="290">
        <v>10</v>
      </c>
      <c r="F25" s="10">
        <f t="shared" si="4"/>
        <v>6613.83</v>
      </c>
      <c r="G25" s="305">
        <v>0.1</v>
      </c>
      <c r="H25" s="10">
        <f t="shared" si="5"/>
        <v>5952.4470000000001</v>
      </c>
    </row>
    <row r="26" spans="1:8">
      <c r="A26" s="467"/>
      <c r="B26" s="289" t="s">
        <v>412</v>
      </c>
      <c r="C26" s="304">
        <v>0</v>
      </c>
      <c r="D26" s="10">
        <f>C$23*C26</f>
        <v>0</v>
      </c>
      <c r="E26" s="290">
        <v>10</v>
      </c>
      <c r="F26" s="10">
        <f t="shared" si="4"/>
        <v>0</v>
      </c>
      <c r="G26" s="305">
        <v>0.05</v>
      </c>
      <c r="H26" s="10">
        <f t="shared" si="5"/>
        <v>0</v>
      </c>
    </row>
    <row r="27" spans="1:8">
      <c r="A27" s="467"/>
      <c r="B27" s="289" t="s">
        <v>408</v>
      </c>
      <c r="C27" s="304">
        <v>0.2</v>
      </c>
      <c r="D27" s="10">
        <f t="shared" ref="D27:D31" si="6">C$23*C27</f>
        <v>264.5532</v>
      </c>
      <c r="E27" s="290">
        <v>20</v>
      </c>
      <c r="F27" s="10">
        <f t="shared" si="4"/>
        <v>5291.0640000000003</v>
      </c>
      <c r="G27" s="305">
        <v>0</v>
      </c>
      <c r="H27" s="10">
        <f t="shared" si="5"/>
        <v>5291.0640000000003</v>
      </c>
    </row>
    <row r="28" spans="1:8">
      <c r="A28" s="467"/>
      <c r="B28" s="289" t="s">
        <v>491</v>
      </c>
      <c r="C28" s="304">
        <v>0</v>
      </c>
      <c r="D28" s="10">
        <f t="shared" si="6"/>
        <v>0</v>
      </c>
      <c r="E28" s="290"/>
      <c r="F28" s="10">
        <f t="shared" si="4"/>
        <v>0</v>
      </c>
      <c r="G28" s="305">
        <v>0</v>
      </c>
      <c r="H28" s="10">
        <f t="shared" si="5"/>
        <v>0</v>
      </c>
    </row>
    <row r="29" spans="1:8">
      <c r="A29" s="467"/>
      <c r="B29" s="289"/>
      <c r="C29" s="304">
        <v>0</v>
      </c>
      <c r="D29" s="10">
        <f t="shared" si="6"/>
        <v>0</v>
      </c>
      <c r="E29" s="290"/>
      <c r="F29" s="10">
        <f t="shared" si="4"/>
        <v>0</v>
      </c>
      <c r="G29" s="305">
        <v>0</v>
      </c>
      <c r="H29" s="10">
        <f t="shared" si="5"/>
        <v>0</v>
      </c>
    </row>
    <row r="30" spans="1:8">
      <c r="A30" s="467"/>
      <c r="B30" s="289"/>
      <c r="C30" s="304">
        <v>0</v>
      </c>
      <c r="D30" s="10">
        <f t="shared" si="6"/>
        <v>0</v>
      </c>
      <c r="E30" s="290"/>
      <c r="F30" s="10">
        <f t="shared" si="4"/>
        <v>0</v>
      </c>
      <c r="G30" s="305">
        <v>0</v>
      </c>
      <c r="H30" s="10">
        <f t="shared" si="5"/>
        <v>0</v>
      </c>
    </row>
    <row r="31" spans="1:8">
      <c r="A31" s="468"/>
      <c r="B31" s="289"/>
      <c r="C31" s="304">
        <v>0</v>
      </c>
      <c r="D31" s="10">
        <f t="shared" si="6"/>
        <v>0</v>
      </c>
      <c r="E31" s="290"/>
      <c r="F31" s="10">
        <f t="shared" si="4"/>
        <v>0</v>
      </c>
      <c r="G31" s="305">
        <v>0</v>
      </c>
      <c r="H31" s="10">
        <f t="shared" si="5"/>
        <v>0</v>
      </c>
    </row>
    <row r="32" spans="1:8">
      <c r="A32" s="319" t="s">
        <v>493</v>
      </c>
      <c r="B32" s="329">
        <v>0.05</v>
      </c>
      <c r="C32" s="298">
        <f>B9*B32</f>
        <v>220.46100000000001</v>
      </c>
      <c r="D32" s="10"/>
      <c r="E32" s="290"/>
      <c r="F32" s="10"/>
      <c r="G32" s="305"/>
      <c r="H32" s="10"/>
    </row>
    <row r="33" spans="1:8">
      <c r="A33" s="332" t="s">
        <v>471</v>
      </c>
      <c r="B33" s="289" t="s">
        <v>492</v>
      </c>
      <c r="C33" s="304">
        <v>0</v>
      </c>
      <c r="D33" s="10">
        <f>C$32*C33</f>
        <v>0</v>
      </c>
      <c r="E33" s="290"/>
      <c r="F33" s="10">
        <f t="shared" si="4"/>
        <v>0</v>
      </c>
      <c r="G33" s="305">
        <v>0</v>
      </c>
      <c r="H33" s="10">
        <f t="shared" si="5"/>
        <v>0</v>
      </c>
    </row>
    <row r="34" spans="1:8">
      <c r="A34" s="333"/>
      <c r="B34" s="289"/>
      <c r="C34" s="304">
        <v>0</v>
      </c>
      <c r="D34" s="10">
        <f>C$32*C34</f>
        <v>0</v>
      </c>
      <c r="E34" s="290"/>
      <c r="F34" s="10">
        <f t="shared" si="4"/>
        <v>0</v>
      </c>
      <c r="G34" s="305">
        <v>0</v>
      </c>
      <c r="H34" s="10">
        <f t="shared" si="5"/>
        <v>0</v>
      </c>
    </row>
    <row r="35" spans="1:8">
      <c r="A35" s="333"/>
      <c r="B35" s="289"/>
      <c r="C35" s="304">
        <v>0</v>
      </c>
      <c r="D35" s="10">
        <f>C$32*C35</f>
        <v>0</v>
      </c>
      <c r="E35" s="290"/>
      <c r="F35" s="10">
        <f t="shared" si="4"/>
        <v>0</v>
      </c>
      <c r="G35" s="305">
        <v>0</v>
      </c>
      <c r="H35" s="10">
        <f t="shared" si="5"/>
        <v>0</v>
      </c>
    </row>
    <row r="36" spans="1:8">
      <c r="A36" s="334"/>
      <c r="B36" s="289"/>
      <c r="C36" s="304">
        <v>0</v>
      </c>
      <c r="D36" s="10">
        <f>C$32*C36</f>
        <v>0</v>
      </c>
      <c r="E36" s="290"/>
      <c r="F36" s="10">
        <f t="shared" si="4"/>
        <v>0</v>
      </c>
      <c r="G36" s="305">
        <v>0</v>
      </c>
      <c r="H36" s="10">
        <f t="shared" si="5"/>
        <v>0</v>
      </c>
    </row>
    <row r="37" spans="1:8">
      <c r="A37" s="465" t="s">
        <v>413</v>
      </c>
      <c r="B37" s="465"/>
      <c r="C37" s="465"/>
      <c r="D37" s="465"/>
      <c r="E37" s="465"/>
      <c r="F37" s="465"/>
      <c r="G37" s="465"/>
      <c r="H37" s="465"/>
    </row>
    <row r="39" spans="1:8" ht="18.75">
      <c r="A39" s="469" t="s">
        <v>585</v>
      </c>
      <c r="B39" s="470"/>
      <c r="C39" s="470"/>
      <c r="D39" s="470"/>
      <c r="E39" s="470"/>
      <c r="F39" s="470"/>
      <c r="G39" s="470"/>
      <c r="H39" s="471"/>
    </row>
    <row r="40" spans="1:8">
      <c r="A40" s="472" t="s">
        <v>0</v>
      </c>
      <c r="B40" s="320">
        <v>0.2</v>
      </c>
      <c r="C40" s="320">
        <f>B40+0.05</f>
        <v>0.25</v>
      </c>
      <c r="D40" s="320">
        <f t="shared" ref="D40:G40" si="7">C40+0.05</f>
        <v>0.3</v>
      </c>
      <c r="E40" s="320">
        <f t="shared" si="7"/>
        <v>0.35</v>
      </c>
      <c r="F40" s="320">
        <f t="shared" si="7"/>
        <v>0.39999999999999997</v>
      </c>
      <c r="G40" s="320">
        <f t="shared" si="7"/>
        <v>0.44999999999999996</v>
      </c>
      <c r="H40" s="320">
        <f>G40+0.05</f>
        <v>0.49999999999999994</v>
      </c>
    </row>
    <row r="41" spans="1:8">
      <c r="A41" s="473"/>
      <c r="B41" s="311" t="s">
        <v>2</v>
      </c>
      <c r="C41" s="311" t="s">
        <v>3</v>
      </c>
      <c r="D41" s="311" t="s">
        <v>4</v>
      </c>
      <c r="E41" s="311" t="s">
        <v>5</v>
      </c>
      <c r="F41" s="311" t="s">
        <v>6</v>
      </c>
      <c r="G41" s="311" t="s">
        <v>171</v>
      </c>
      <c r="H41" s="311" t="s">
        <v>170</v>
      </c>
    </row>
    <row r="42" spans="1:8">
      <c r="A42" s="10" t="str">
        <f t="shared" ref="A42:A50" si="8">B14</f>
        <v>Soybean</v>
      </c>
      <c r="B42" s="10">
        <f t="shared" ref="B42:B50" si="9">H14*$B$40</f>
        <v>2513.2554</v>
      </c>
      <c r="C42" s="10">
        <f t="shared" ref="C42:H51" si="10">(B42/B$40)*C$40</f>
        <v>3141.56925</v>
      </c>
      <c r="D42" s="10">
        <f t="shared" si="10"/>
        <v>3769.8831</v>
      </c>
      <c r="E42" s="10">
        <f t="shared" si="10"/>
        <v>4398.1969499999996</v>
      </c>
      <c r="F42" s="10">
        <f t="shared" si="10"/>
        <v>5026.5108</v>
      </c>
      <c r="G42" s="10">
        <f t="shared" si="10"/>
        <v>5654.8246500000005</v>
      </c>
      <c r="H42" s="10">
        <f t="shared" si="10"/>
        <v>6283.1385</v>
      </c>
    </row>
    <row r="43" spans="1:8">
      <c r="A43" s="10" t="str">
        <f t="shared" si="8"/>
        <v>Red Gram/Tur</v>
      </c>
      <c r="B43" s="10">
        <f t="shared" si="9"/>
        <v>0</v>
      </c>
      <c r="C43" s="10">
        <f t="shared" si="10"/>
        <v>0</v>
      </c>
      <c r="D43" s="10">
        <f t="shared" si="10"/>
        <v>0</v>
      </c>
      <c r="E43" s="10">
        <f t="shared" si="10"/>
        <v>0</v>
      </c>
      <c r="F43" s="10">
        <f t="shared" si="10"/>
        <v>0</v>
      </c>
      <c r="G43" s="10">
        <f t="shared" si="10"/>
        <v>0</v>
      </c>
      <c r="H43" s="10">
        <f t="shared" si="10"/>
        <v>0</v>
      </c>
    </row>
    <row r="44" spans="1:8">
      <c r="A44" s="10" t="str">
        <f t="shared" si="8"/>
        <v>Paddy/Rice</v>
      </c>
      <c r="B44" s="10">
        <f t="shared" si="9"/>
        <v>0</v>
      </c>
      <c r="C44" s="10">
        <f t="shared" si="10"/>
        <v>0</v>
      </c>
      <c r="D44" s="10">
        <f t="shared" si="10"/>
        <v>0</v>
      </c>
      <c r="E44" s="10">
        <f t="shared" si="10"/>
        <v>0</v>
      </c>
      <c r="F44" s="10">
        <f t="shared" si="10"/>
        <v>0</v>
      </c>
      <c r="G44" s="10">
        <f t="shared" si="10"/>
        <v>0</v>
      </c>
      <c r="H44" s="10">
        <f t="shared" si="10"/>
        <v>0</v>
      </c>
    </row>
    <row r="45" spans="1:8">
      <c r="A45" s="10" t="str">
        <f t="shared" si="8"/>
        <v>Green Gram/ Moong</v>
      </c>
      <c r="B45" s="10">
        <f t="shared" si="9"/>
        <v>907.41747600000019</v>
      </c>
      <c r="C45" s="10">
        <f t="shared" si="10"/>
        <v>1134.2718450000002</v>
      </c>
      <c r="D45" s="10">
        <f t="shared" si="10"/>
        <v>1361.1262140000001</v>
      </c>
      <c r="E45" s="10">
        <f t="shared" si="10"/>
        <v>1587.9805830000003</v>
      </c>
      <c r="F45" s="10">
        <f t="shared" si="10"/>
        <v>1814.8349520000002</v>
      </c>
      <c r="G45" s="10">
        <f t="shared" si="10"/>
        <v>2041.6893210000003</v>
      </c>
      <c r="H45" s="10">
        <f t="shared" si="10"/>
        <v>2268.54369</v>
      </c>
    </row>
    <row r="46" spans="1:8">
      <c r="A46" s="10" t="str">
        <f t="shared" si="8"/>
        <v>Maize</v>
      </c>
      <c r="B46" s="10">
        <f t="shared" si="9"/>
        <v>7054.7520000000004</v>
      </c>
      <c r="C46" s="10">
        <f t="shared" si="10"/>
        <v>8818.44</v>
      </c>
      <c r="D46" s="10">
        <f t="shared" si="10"/>
        <v>10582.128000000001</v>
      </c>
      <c r="E46" s="10">
        <f t="shared" si="10"/>
        <v>12345.816000000001</v>
      </c>
      <c r="F46" s="10">
        <f t="shared" si="10"/>
        <v>14109.503999999999</v>
      </c>
      <c r="G46" s="10">
        <f t="shared" si="10"/>
        <v>15873.191999999999</v>
      </c>
      <c r="H46" s="10">
        <f t="shared" si="10"/>
        <v>17636.879999999997</v>
      </c>
    </row>
    <row r="47" spans="1:8">
      <c r="A47" s="10" t="str">
        <f t="shared" si="8"/>
        <v>Black Gram/Udid</v>
      </c>
      <c r="B47" s="10">
        <f t="shared" si="9"/>
        <v>555.56172000000004</v>
      </c>
      <c r="C47" s="10">
        <f t="shared" si="10"/>
        <v>694.45214999999996</v>
      </c>
      <c r="D47" s="10">
        <f t="shared" si="10"/>
        <v>833.34257999999988</v>
      </c>
      <c r="E47" s="10">
        <f t="shared" si="10"/>
        <v>972.23300999999992</v>
      </c>
      <c r="F47" s="10">
        <f t="shared" si="10"/>
        <v>1111.1234399999998</v>
      </c>
      <c r="G47" s="10">
        <f t="shared" si="10"/>
        <v>1250.0138699999998</v>
      </c>
      <c r="H47" s="10">
        <f t="shared" si="10"/>
        <v>1388.9042999999997</v>
      </c>
    </row>
    <row r="48" spans="1:8">
      <c r="A48" s="10" t="str">
        <f t="shared" si="8"/>
        <v>Bajra</v>
      </c>
      <c r="B48" s="10">
        <f t="shared" si="9"/>
        <v>0</v>
      </c>
      <c r="C48" s="10">
        <f t="shared" si="10"/>
        <v>0</v>
      </c>
      <c r="D48" s="10">
        <f t="shared" si="10"/>
        <v>0</v>
      </c>
      <c r="E48" s="10">
        <f t="shared" si="10"/>
        <v>0</v>
      </c>
      <c r="F48" s="10">
        <f t="shared" si="10"/>
        <v>0</v>
      </c>
      <c r="G48" s="10">
        <f t="shared" si="10"/>
        <v>0</v>
      </c>
      <c r="H48" s="10">
        <f t="shared" si="10"/>
        <v>0</v>
      </c>
    </row>
    <row r="49" spans="1:8">
      <c r="A49" s="10" t="str">
        <f t="shared" si="8"/>
        <v>Jawar</v>
      </c>
      <c r="B49" s="10">
        <f t="shared" si="9"/>
        <v>0</v>
      </c>
      <c r="C49" s="10">
        <f t="shared" si="10"/>
        <v>0</v>
      </c>
      <c r="D49" s="10">
        <f t="shared" si="10"/>
        <v>0</v>
      </c>
      <c r="E49" s="10">
        <f t="shared" si="10"/>
        <v>0</v>
      </c>
      <c r="F49" s="10">
        <f t="shared" si="10"/>
        <v>0</v>
      </c>
      <c r="G49" s="10">
        <f t="shared" si="10"/>
        <v>0</v>
      </c>
      <c r="H49" s="10">
        <f t="shared" si="10"/>
        <v>0</v>
      </c>
    </row>
    <row r="50" spans="1:8">
      <c r="A50" s="10" t="str">
        <f t="shared" si="8"/>
        <v>Sunflower</v>
      </c>
      <c r="B50" s="10">
        <f t="shared" si="9"/>
        <v>0</v>
      </c>
      <c r="C50" s="10">
        <f t="shared" si="10"/>
        <v>0</v>
      </c>
      <c r="D50" s="10">
        <f t="shared" si="10"/>
        <v>0</v>
      </c>
      <c r="E50" s="10">
        <f t="shared" si="10"/>
        <v>0</v>
      </c>
      <c r="F50" s="10">
        <f t="shared" si="10"/>
        <v>0</v>
      </c>
      <c r="G50" s="10">
        <f t="shared" si="10"/>
        <v>0</v>
      </c>
      <c r="H50" s="10">
        <f t="shared" si="10"/>
        <v>0</v>
      </c>
    </row>
    <row r="51" spans="1:8">
      <c r="A51" s="10" t="str">
        <f t="shared" ref="A51:A58" si="11">B24</f>
        <v>Wheat</v>
      </c>
      <c r="B51" s="10">
        <f t="shared" ref="B51:B58" si="12">H24*$B$40</f>
        <v>714.2936400000001</v>
      </c>
      <c r="C51" s="10">
        <f t="shared" si="10"/>
        <v>892.86705000000006</v>
      </c>
      <c r="D51" s="10">
        <f t="shared" si="10"/>
        <v>1071.44046</v>
      </c>
      <c r="E51" s="10">
        <f t="shared" si="10"/>
        <v>1250.01387</v>
      </c>
      <c r="F51" s="10">
        <f t="shared" si="10"/>
        <v>1428.58728</v>
      </c>
      <c r="G51" s="10">
        <f t="shared" si="10"/>
        <v>1607.1606899999999</v>
      </c>
      <c r="H51" s="10">
        <f t="shared" si="10"/>
        <v>1785.7340999999999</v>
      </c>
    </row>
    <row r="52" spans="1:8">
      <c r="A52" s="10" t="str">
        <f t="shared" si="11"/>
        <v>Bengal Gram/Channa</v>
      </c>
      <c r="B52" s="10">
        <f t="shared" si="12"/>
        <v>1190.4894000000002</v>
      </c>
      <c r="C52" s="10">
        <f t="shared" ref="C52:H61" si="13">(B52/B$40)*C$40</f>
        <v>1488.11175</v>
      </c>
      <c r="D52" s="10">
        <f t="shared" si="13"/>
        <v>1785.7340999999999</v>
      </c>
      <c r="E52" s="10">
        <f t="shared" si="13"/>
        <v>2083.3564499999998</v>
      </c>
      <c r="F52" s="10">
        <f t="shared" si="13"/>
        <v>2380.9787999999999</v>
      </c>
      <c r="G52" s="10">
        <f t="shared" si="13"/>
        <v>2678.60115</v>
      </c>
      <c r="H52" s="10">
        <f t="shared" si="13"/>
        <v>2976.2234999999996</v>
      </c>
    </row>
    <row r="53" spans="1:8">
      <c r="A53" s="10" t="str">
        <f t="shared" si="11"/>
        <v>Jawar</v>
      </c>
      <c r="B53" s="10">
        <f t="shared" si="12"/>
        <v>0</v>
      </c>
      <c r="C53" s="10">
        <f t="shared" si="13"/>
        <v>0</v>
      </c>
      <c r="D53" s="10">
        <f t="shared" si="13"/>
        <v>0</v>
      </c>
      <c r="E53" s="10">
        <f t="shared" si="13"/>
        <v>0</v>
      </c>
      <c r="F53" s="10">
        <f t="shared" si="13"/>
        <v>0</v>
      </c>
      <c r="G53" s="10">
        <f t="shared" si="13"/>
        <v>0</v>
      </c>
      <c r="H53" s="10">
        <f t="shared" si="13"/>
        <v>0</v>
      </c>
    </row>
    <row r="54" spans="1:8">
      <c r="A54" s="10" t="str">
        <f t="shared" si="11"/>
        <v>Maize</v>
      </c>
      <c r="B54" s="10">
        <f t="shared" si="12"/>
        <v>1058.2128</v>
      </c>
      <c r="C54" s="10">
        <f t="shared" si="13"/>
        <v>1322.7659999999998</v>
      </c>
      <c r="D54" s="10">
        <f t="shared" si="13"/>
        <v>1587.3191999999997</v>
      </c>
      <c r="E54" s="10">
        <f t="shared" si="13"/>
        <v>1851.8723999999997</v>
      </c>
      <c r="F54" s="10">
        <f t="shared" si="13"/>
        <v>2116.4255999999996</v>
      </c>
      <c r="G54" s="10">
        <f t="shared" si="13"/>
        <v>2380.9787999999994</v>
      </c>
      <c r="H54" s="10">
        <f t="shared" si="13"/>
        <v>2645.5319999999992</v>
      </c>
    </row>
    <row r="55" spans="1:8">
      <c r="A55" s="10" t="str">
        <f t="shared" si="11"/>
        <v>Safflower</v>
      </c>
      <c r="B55" s="10">
        <f t="shared" si="12"/>
        <v>0</v>
      </c>
      <c r="C55" s="10">
        <f t="shared" si="13"/>
        <v>0</v>
      </c>
      <c r="D55" s="10">
        <f t="shared" si="13"/>
        <v>0</v>
      </c>
      <c r="E55" s="10">
        <f t="shared" si="13"/>
        <v>0</v>
      </c>
      <c r="F55" s="10">
        <f t="shared" si="13"/>
        <v>0</v>
      </c>
      <c r="G55" s="10">
        <f t="shared" si="13"/>
        <v>0</v>
      </c>
      <c r="H55" s="10">
        <f t="shared" si="13"/>
        <v>0</v>
      </c>
    </row>
    <row r="56" spans="1:8">
      <c r="A56" s="10">
        <f t="shared" si="11"/>
        <v>0</v>
      </c>
      <c r="B56" s="10">
        <f t="shared" si="12"/>
        <v>0</v>
      </c>
      <c r="C56" s="10">
        <f t="shared" si="13"/>
        <v>0</v>
      </c>
      <c r="D56" s="10">
        <f t="shared" si="13"/>
        <v>0</v>
      </c>
      <c r="E56" s="10">
        <f t="shared" si="13"/>
        <v>0</v>
      </c>
      <c r="F56" s="10">
        <f t="shared" si="13"/>
        <v>0</v>
      </c>
      <c r="G56" s="10">
        <f t="shared" si="13"/>
        <v>0</v>
      </c>
      <c r="H56" s="10">
        <f t="shared" si="13"/>
        <v>0</v>
      </c>
    </row>
    <row r="57" spans="1:8">
      <c r="A57" s="10">
        <f t="shared" si="11"/>
        <v>0</v>
      </c>
      <c r="B57" s="10">
        <f t="shared" si="12"/>
        <v>0</v>
      </c>
      <c r="C57" s="10">
        <f t="shared" si="13"/>
        <v>0</v>
      </c>
      <c r="D57" s="10">
        <f t="shared" si="13"/>
        <v>0</v>
      </c>
      <c r="E57" s="10">
        <f t="shared" si="13"/>
        <v>0</v>
      </c>
      <c r="F57" s="10">
        <f t="shared" si="13"/>
        <v>0</v>
      </c>
      <c r="G57" s="10">
        <f t="shared" si="13"/>
        <v>0</v>
      </c>
      <c r="H57" s="10">
        <f t="shared" si="13"/>
        <v>0</v>
      </c>
    </row>
    <row r="58" spans="1:8">
      <c r="A58" s="10">
        <f t="shared" si="11"/>
        <v>0</v>
      </c>
      <c r="B58" s="10">
        <f t="shared" si="12"/>
        <v>0</v>
      </c>
      <c r="C58" s="10">
        <f t="shared" si="13"/>
        <v>0</v>
      </c>
      <c r="D58" s="10">
        <f t="shared" si="13"/>
        <v>0</v>
      </c>
      <c r="E58" s="10">
        <f t="shared" si="13"/>
        <v>0</v>
      </c>
      <c r="F58" s="10">
        <f t="shared" si="13"/>
        <v>0</v>
      </c>
      <c r="G58" s="10">
        <f t="shared" si="13"/>
        <v>0</v>
      </c>
      <c r="H58" s="10">
        <f t="shared" si="13"/>
        <v>0</v>
      </c>
    </row>
    <row r="59" spans="1:8">
      <c r="A59" s="10" t="str">
        <f>B33</f>
        <v>Groundnut</v>
      </c>
      <c r="B59" s="10">
        <f>H33*$B$40</f>
        <v>0</v>
      </c>
      <c r="C59" s="10">
        <f t="shared" si="13"/>
        <v>0</v>
      </c>
      <c r="D59" s="10">
        <f t="shared" si="13"/>
        <v>0</v>
      </c>
      <c r="E59" s="10">
        <f t="shared" si="13"/>
        <v>0</v>
      </c>
      <c r="F59" s="10">
        <f t="shared" si="13"/>
        <v>0</v>
      </c>
      <c r="G59" s="10">
        <f t="shared" si="13"/>
        <v>0</v>
      </c>
      <c r="H59" s="10">
        <f t="shared" si="13"/>
        <v>0</v>
      </c>
    </row>
    <row r="60" spans="1:8">
      <c r="A60" s="10">
        <f>B34</f>
        <v>0</v>
      </c>
      <c r="B60" s="10">
        <f>H34*$B$40</f>
        <v>0</v>
      </c>
      <c r="C60" s="10">
        <f t="shared" si="13"/>
        <v>0</v>
      </c>
      <c r="D60" s="10">
        <f t="shared" si="13"/>
        <v>0</v>
      </c>
      <c r="E60" s="10">
        <f t="shared" si="13"/>
        <v>0</v>
      </c>
      <c r="F60" s="10">
        <f t="shared" si="13"/>
        <v>0</v>
      </c>
      <c r="G60" s="10">
        <f t="shared" si="13"/>
        <v>0</v>
      </c>
      <c r="H60" s="10">
        <f t="shared" si="13"/>
        <v>0</v>
      </c>
    </row>
    <row r="61" spans="1:8">
      <c r="A61" s="10">
        <f>B35</f>
        <v>0</v>
      </c>
      <c r="B61" s="10">
        <f>H35*$B$40</f>
        <v>0</v>
      </c>
      <c r="C61" s="10">
        <f t="shared" si="13"/>
        <v>0</v>
      </c>
      <c r="D61" s="10">
        <f t="shared" si="13"/>
        <v>0</v>
      </c>
      <c r="E61" s="10">
        <f t="shared" si="13"/>
        <v>0</v>
      </c>
      <c r="F61" s="10">
        <f t="shared" si="13"/>
        <v>0</v>
      </c>
      <c r="G61" s="10">
        <f t="shared" si="13"/>
        <v>0</v>
      </c>
      <c r="H61" s="10">
        <f t="shared" si="13"/>
        <v>0</v>
      </c>
    </row>
    <row r="62" spans="1:8">
      <c r="A62" s="10">
        <f>B36</f>
        <v>0</v>
      </c>
      <c r="B62" s="10">
        <f>H36*$B$40</f>
        <v>0</v>
      </c>
      <c r="C62" s="10">
        <f t="shared" ref="C62:H62" si="14">(B62/B$40)*C$40</f>
        <v>0</v>
      </c>
      <c r="D62" s="10">
        <f t="shared" si="14"/>
        <v>0</v>
      </c>
      <c r="E62" s="10">
        <f t="shared" si="14"/>
        <v>0</v>
      </c>
      <c r="F62" s="10">
        <f t="shared" si="14"/>
        <v>0</v>
      </c>
      <c r="G62" s="10">
        <f t="shared" si="14"/>
        <v>0</v>
      </c>
      <c r="H62" s="10">
        <f t="shared" si="14"/>
        <v>0</v>
      </c>
    </row>
    <row r="64" spans="1:8" ht="18.75">
      <c r="A64" s="474" t="s">
        <v>586</v>
      </c>
      <c r="B64" s="475"/>
      <c r="C64" s="475"/>
      <c r="D64" s="475"/>
      <c r="E64" s="475"/>
      <c r="F64" s="475"/>
      <c r="G64" s="475"/>
      <c r="H64" s="476"/>
    </row>
    <row r="65" spans="1:8">
      <c r="A65" s="477" t="s">
        <v>0</v>
      </c>
      <c r="B65" s="321">
        <v>0.2</v>
      </c>
      <c r="C65" s="321">
        <f>B65+0.05</f>
        <v>0.25</v>
      </c>
      <c r="D65" s="321">
        <f t="shared" ref="D65:G65" si="15">C65+0.05</f>
        <v>0.3</v>
      </c>
      <c r="E65" s="321">
        <f t="shared" si="15"/>
        <v>0.35</v>
      </c>
      <c r="F65" s="321">
        <f t="shared" si="15"/>
        <v>0.39999999999999997</v>
      </c>
      <c r="G65" s="321">
        <f t="shared" si="15"/>
        <v>0.44999999999999996</v>
      </c>
      <c r="H65" s="321">
        <f>G65+0.05</f>
        <v>0.49999999999999994</v>
      </c>
    </row>
    <row r="66" spans="1:8">
      <c r="A66" s="478"/>
      <c r="B66" s="311" t="s">
        <v>2</v>
      </c>
      <c r="C66" s="311" t="s">
        <v>3</v>
      </c>
      <c r="D66" s="311" t="s">
        <v>4</v>
      </c>
      <c r="E66" s="311" t="s">
        <v>5</v>
      </c>
      <c r="F66" s="311" t="s">
        <v>6</v>
      </c>
      <c r="G66" s="311" t="s">
        <v>171</v>
      </c>
      <c r="H66" s="311" t="s">
        <v>170</v>
      </c>
    </row>
    <row r="67" spans="1:8" s="13" customFormat="1">
      <c r="A67" s="10" t="str">
        <f t="shared" ref="A67:A87" si="16">A42</f>
        <v>Soybean</v>
      </c>
      <c r="B67" s="10">
        <f>H14*$B$65</f>
        <v>2513.2554</v>
      </c>
      <c r="C67" s="10">
        <f>(B67/B$65)*C$65</f>
        <v>3141.56925</v>
      </c>
      <c r="D67" s="10">
        <f t="shared" ref="D67:H68" si="17">(C67/C$65)*D$65</f>
        <v>3769.8831</v>
      </c>
      <c r="E67" s="10">
        <f t="shared" si="17"/>
        <v>4398.1969499999996</v>
      </c>
      <c r="F67" s="10">
        <f t="shared" si="17"/>
        <v>5026.5108</v>
      </c>
      <c r="G67" s="10">
        <f t="shared" si="17"/>
        <v>5654.8246500000005</v>
      </c>
      <c r="H67" s="10">
        <f t="shared" si="17"/>
        <v>6283.1385</v>
      </c>
    </row>
    <row r="68" spans="1:8">
      <c r="A68" s="10" t="str">
        <f t="shared" si="16"/>
        <v>Red Gram/Tur</v>
      </c>
      <c r="B68" s="10">
        <f t="shared" ref="B68:B75" si="18">H15*$B$65</f>
        <v>0</v>
      </c>
      <c r="C68" s="10">
        <f>(B68/B$65)*C$65</f>
        <v>0</v>
      </c>
      <c r="D68" s="10">
        <f t="shared" si="17"/>
        <v>0</v>
      </c>
      <c r="E68" s="10">
        <f t="shared" si="17"/>
        <v>0</v>
      </c>
      <c r="F68" s="10">
        <f t="shared" si="17"/>
        <v>0</v>
      </c>
      <c r="G68" s="10">
        <f t="shared" si="17"/>
        <v>0</v>
      </c>
      <c r="H68" s="10">
        <f t="shared" si="17"/>
        <v>0</v>
      </c>
    </row>
    <row r="69" spans="1:8">
      <c r="A69" s="10" t="str">
        <f t="shared" si="16"/>
        <v>Paddy/Rice</v>
      </c>
      <c r="B69" s="10">
        <f t="shared" si="18"/>
        <v>0</v>
      </c>
      <c r="C69" s="10">
        <f t="shared" ref="C69:H69" si="19">(B69/B$65)*C$65</f>
        <v>0</v>
      </c>
      <c r="D69" s="10">
        <f t="shared" si="19"/>
        <v>0</v>
      </c>
      <c r="E69" s="10">
        <f t="shared" si="19"/>
        <v>0</v>
      </c>
      <c r="F69" s="10">
        <f t="shared" si="19"/>
        <v>0</v>
      </c>
      <c r="G69" s="10">
        <f t="shared" si="19"/>
        <v>0</v>
      </c>
      <c r="H69" s="10">
        <f t="shared" si="19"/>
        <v>0</v>
      </c>
    </row>
    <row r="70" spans="1:8">
      <c r="A70" s="10" t="str">
        <f t="shared" si="16"/>
        <v>Green Gram/ Moong</v>
      </c>
      <c r="B70" s="10">
        <f t="shared" si="18"/>
        <v>907.41747600000019</v>
      </c>
      <c r="C70" s="10">
        <f t="shared" ref="C70:H70" si="20">(B70/B$65)*C$65</f>
        <v>1134.2718450000002</v>
      </c>
      <c r="D70" s="10">
        <f t="shared" si="20"/>
        <v>1361.1262140000001</v>
      </c>
      <c r="E70" s="10">
        <f t="shared" si="20"/>
        <v>1587.9805830000003</v>
      </c>
      <c r="F70" s="10">
        <f t="shared" si="20"/>
        <v>1814.8349520000002</v>
      </c>
      <c r="G70" s="10">
        <f t="shared" si="20"/>
        <v>2041.6893210000003</v>
      </c>
      <c r="H70" s="10">
        <f t="shared" si="20"/>
        <v>2268.54369</v>
      </c>
    </row>
    <row r="71" spans="1:8">
      <c r="A71" s="10" t="str">
        <f t="shared" si="16"/>
        <v>Maize</v>
      </c>
      <c r="B71" s="10">
        <f t="shared" si="18"/>
        <v>7054.7520000000004</v>
      </c>
      <c r="C71" s="10">
        <f t="shared" ref="C71:H71" si="21">(B71/B$65)*C$65</f>
        <v>8818.44</v>
      </c>
      <c r="D71" s="10">
        <f t="shared" si="21"/>
        <v>10582.128000000001</v>
      </c>
      <c r="E71" s="10">
        <f t="shared" si="21"/>
        <v>12345.816000000001</v>
      </c>
      <c r="F71" s="10">
        <f t="shared" si="21"/>
        <v>14109.503999999999</v>
      </c>
      <c r="G71" s="10">
        <f t="shared" si="21"/>
        <v>15873.191999999999</v>
      </c>
      <c r="H71" s="10">
        <f t="shared" si="21"/>
        <v>17636.879999999997</v>
      </c>
    </row>
    <row r="72" spans="1:8">
      <c r="A72" s="10" t="str">
        <f t="shared" si="16"/>
        <v>Black Gram/Udid</v>
      </c>
      <c r="B72" s="10">
        <f t="shared" si="18"/>
        <v>555.56172000000004</v>
      </c>
      <c r="C72" s="10">
        <f t="shared" ref="C72:H72" si="22">(B72/B$65)*C$65</f>
        <v>694.45214999999996</v>
      </c>
      <c r="D72" s="10">
        <f t="shared" si="22"/>
        <v>833.34257999999988</v>
      </c>
      <c r="E72" s="10">
        <f t="shared" si="22"/>
        <v>972.23300999999992</v>
      </c>
      <c r="F72" s="10">
        <f t="shared" si="22"/>
        <v>1111.1234399999998</v>
      </c>
      <c r="G72" s="10">
        <f t="shared" si="22"/>
        <v>1250.0138699999998</v>
      </c>
      <c r="H72" s="10">
        <f t="shared" si="22"/>
        <v>1388.9042999999997</v>
      </c>
    </row>
    <row r="73" spans="1:8">
      <c r="A73" s="10" t="str">
        <f t="shared" si="16"/>
        <v>Bajra</v>
      </c>
      <c r="B73" s="10">
        <f t="shared" si="18"/>
        <v>0</v>
      </c>
      <c r="C73" s="10">
        <f t="shared" ref="C73:H73" si="23">(B73/B$65)*C$65</f>
        <v>0</v>
      </c>
      <c r="D73" s="10">
        <f t="shared" si="23"/>
        <v>0</v>
      </c>
      <c r="E73" s="10">
        <f t="shared" si="23"/>
        <v>0</v>
      </c>
      <c r="F73" s="10">
        <f t="shared" si="23"/>
        <v>0</v>
      </c>
      <c r="G73" s="10">
        <f t="shared" si="23"/>
        <v>0</v>
      </c>
      <c r="H73" s="10">
        <f t="shared" si="23"/>
        <v>0</v>
      </c>
    </row>
    <row r="74" spans="1:8">
      <c r="A74" s="10" t="str">
        <f t="shared" si="16"/>
        <v>Jawar</v>
      </c>
      <c r="B74" s="10">
        <f t="shared" si="18"/>
        <v>0</v>
      </c>
      <c r="C74" s="10">
        <f t="shared" ref="C74:H74" si="24">(B74/B$65)*C$65</f>
        <v>0</v>
      </c>
      <c r="D74" s="10">
        <f t="shared" si="24"/>
        <v>0</v>
      </c>
      <c r="E74" s="10">
        <f t="shared" si="24"/>
        <v>0</v>
      </c>
      <c r="F74" s="10">
        <f t="shared" si="24"/>
        <v>0</v>
      </c>
      <c r="G74" s="10">
        <f t="shared" si="24"/>
        <v>0</v>
      </c>
      <c r="H74" s="10">
        <f t="shared" si="24"/>
        <v>0</v>
      </c>
    </row>
    <row r="75" spans="1:8">
      <c r="A75" s="10" t="str">
        <f t="shared" si="16"/>
        <v>Sunflower</v>
      </c>
      <c r="B75" s="10">
        <f t="shared" si="18"/>
        <v>0</v>
      </c>
      <c r="C75" s="10">
        <f t="shared" ref="C75:H75" si="25">(B75/B$65)*C$65</f>
        <v>0</v>
      </c>
      <c r="D75" s="10">
        <f t="shared" si="25"/>
        <v>0</v>
      </c>
      <c r="E75" s="10">
        <f t="shared" si="25"/>
        <v>0</v>
      </c>
      <c r="F75" s="10">
        <f t="shared" si="25"/>
        <v>0</v>
      </c>
      <c r="G75" s="10">
        <f t="shared" si="25"/>
        <v>0</v>
      </c>
      <c r="H75" s="10">
        <f t="shared" si="25"/>
        <v>0</v>
      </c>
    </row>
    <row r="76" spans="1:8">
      <c r="A76" s="10" t="str">
        <f t="shared" si="16"/>
        <v>Wheat</v>
      </c>
      <c r="B76" s="10">
        <f t="shared" ref="B76:B83" si="26">H24*$B$65</f>
        <v>714.2936400000001</v>
      </c>
      <c r="C76" s="10">
        <f t="shared" ref="C76:H76" si="27">(B76/B$65)*C$65</f>
        <v>892.86705000000006</v>
      </c>
      <c r="D76" s="10">
        <f t="shared" si="27"/>
        <v>1071.44046</v>
      </c>
      <c r="E76" s="10">
        <f t="shared" si="27"/>
        <v>1250.01387</v>
      </c>
      <c r="F76" s="10">
        <f t="shared" si="27"/>
        <v>1428.58728</v>
      </c>
      <c r="G76" s="10">
        <f t="shared" si="27"/>
        <v>1607.1606899999999</v>
      </c>
      <c r="H76" s="10">
        <f t="shared" si="27"/>
        <v>1785.7340999999999</v>
      </c>
    </row>
    <row r="77" spans="1:8">
      <c r="A77" s="10" t="str">
        <f t="shared" si="16"/>
        <v>Bengal Gram/Channa</v>
      </c>
      <c r="B77" s="10">
        <f t="shared" si="26"/>
        <v>1190.4894000000002</v>
      </c>
      <c r="C77" s="10">
        <f t="shared" ref="C77:H77" si="28">(B77/B$65)*C$65</f>
        <v>1488.11175</v>
      </c>
      <c r="D77" s="10">
        <f t="shared" si="28"/>
        <v>1785.7340999999999</v>
      </c>
      <c r="E77" s="10">
        <f t="shared" si="28"/>
        <v>2083.3564499999998</v>
      </c>
      <c r="F77" s="10">
        <f t="shared" si="28"/>
        <v>2380.9787999999999</v>
      </c>
      <c r="G77" s="10">
        <f t="shared" si="28"/>
        <v>2678.60115</v>
      </c>
      <c r="H77" s="10">
        <f t="shared" si="28"/>
        <v>2976.2234999999996</v>
      </c>
    </row>
    <row r="78" spans="1:8">
      <c r="A78" s="10" t="str">
        <f t="shared" si="16"/>
        <v>Jawar</v>
      </c>
      <c r="B78" s="10">
        <f t="shared" si="26"/>
        <v>0</v>
      </c>
      <c r="C78" s="10">
        <f t="shared" ref="C78:H78" si="29">(B78/B$65)*C$65</f>
        <v>0</v>
      </c>
      <c r="D78" s="10">
        <f t="shared" si="29"/>
        <v>0</v>
      </c>
      <c r="E78" s="10">
        <f t="shared" si="29"/>
        <v>0</v>
      </c>
      <c r="F78" s="10">
        <f t="shared" si="29"/>
        <v>0</v>
      </c>
      <c r="G78" s="10">
        <f t="shared" si="29"/>
        <v>0</v>
      </c>
      <c r="H78" s="10">
        <f t="shared" si="29"/>
        <v>0</v>
      </c>
    </row>
    <row r="79" spans="1:8">
      <c r="A79" s="10" t="str">
        <f t="shared" si="16"/>
        <v>Maize</v>
      </c>
      <c r="B79" s="10">
        <f t="shared" si="26"/>
        <v>1058.2128</v>
      </c>
      <c r="C79" s="10">
        <f t="shared" ref="C79:H79" si="30">(B79/B$65)*C$65</f>
        <v>1322.7659999999998</v>
      </c>
      <c r="D79" s="10">
        <f t="shared" si="30"/>
        <v>1587.3191999999997</v>
      </c>
      <c r="E79" s="10">
        <f t="shared" si="30"/>
        <v>1851.8723999999997</v>
      </c>
      <c r="F79" s="10">
        <f t="shared" si="30"/>
        <v>2116.4255999999996</v>
      </c>
      <c r="G79" s="10">
        <f t="shared" si="30"/>
        <v>2380.9787999999994</v>
      </c>
      <c r="H79" s="10">
        <f t="shared" si="30"/>
        <v>2645.5319999999992</v>
      </c>
    </row>
    <row r="80" spans="1:8">
      <c r="A80" s="10" t="str">
        <f t="shared" si="16"/>
        <v>Safflower</v>
      </c>
      <c r="B80" s="10">
        <f t="shared" si="26"/>
        <v>0</v>
      </c>
      <c r="C80" s="10">
        <f t="shared" ref="C80:H80" si="31">(B80/B$65)*C$65</f>
        <v>0</v>
      </c>
      <c r="D80" s="10">
        <f t="shared" si="31"/>
        <v>0</v>
      </c>
      <c r="E80" s="10">
        <f t="shared" si="31"/>
        <v>0</v>
      </c>
      <c r="F80" s="10">
        <f t="shared" si="31"/>
        <v>0</v>
      </c>
      <c r="G80" s="10">
        <f t="shared" si="31"/>
        <v>0</v>
      </c>
      <c r="H80" s="10">
        <f t="shared" si="31"/>
        <v>0</v>
      </c>
    </row>
    <row r="81" spans="1:9">
      <c r="A81" s="10">
        <f t="shared" si="16"/>
        <v>0</v>
      </c>
      <c r="B81" s="10">
        <f t="shared" si="26"/>
        <v>0</v>
      </c>
      <c r="C81" s="10">
        <f t="shared" ref="C81:H81" si="32">(B81/B$65)*C$65</f>
        <v>0</v>
      </c>
      <c r="D81" s="10">
        <f t="shared" si="32"/>
        <v>0</v>
      </c>
      <c r="E81" s="10">
        <f t="shared" si="32"/>
        <v>0</v>
      </c>
      <c r="F81" s="10">
        <f t="shared" si="32"/>
        <v>0</v>
      </c>
      <c r="G81" s="10">
        <f t="shared" si="32"/>
        <v>0</v>
      </c>
      <c r="H81" s="10">
        <f t="shared" si="32"/>
        <v>0</v>
      </c>
    </row>
    <row r="82" spans="1:9">
      <c r="A82" s="10">
        <f t="shared" si="16"/>
        <v>0</v>
      </c>
      <c r="B82" s="10">
        <f t="shared" si="26"/>
        <v>0</v>
      </c>
      <c r="C82" s="10">
        <f t="shared" ref="C82:H82" si="33">(B82/B$65)*C$65</f>
        <v>0</v>
      </c>
      <c r="D82" s="10">
        <f t="shared" si="33"/>
        <v>0</v>
      </c>
      <c r="E82" s="10">
        <f t="shared" si="33"/>
        <v>0</v>
      </c>
      <c r="F82" s="10">
        <f t="shared" si="33"/>
        <v>0</v>
      </c>
      <c r="G82" s="10">
        <f t="shared" si="33"/>
        <v>0</v>
      </c>
      <c r="H82" s="10">
        <f t="shared" si="33"/>
        <v>0</v>
      </c>
    </row>
    <row r="83" spans="1:9">
      <c r="A83" s="10">
        <f t="shared" si="16"/>
        <v>0</v>
      </c>
      <c r="B83" s="10">
        <f t="shared" si="26"/>
        <v>0</v>
      </c>
      <c r="C83" s="10">
        <f t="shared" ref="C83:H83" si="34">(B83/B$65)*C$65</f>
        <v>0</v>
      </c>
      <c r="D83" s="10">
        <f t="shared" si="34"/>
        <v>0</v>
      </c>
      <c r="E83" s="10">
        <f t="shared" si="34"/>
        <v>0</v>
      </c>
      <c r="F83" s="10">
        <f t="shared" si="34"/>
        <v>0</v>
      </c>
      <c r="G83" s="10">
        <f t="shared" si="34"/>
        <v>0</v>
      </c>
      <c r="H83" s="10">
        <f t="shared" si="34"/>
        <v>0</v>
      </c>
    </row>
    <row r="84" spans="1:9">
      <c r="A84" s="10" t="str">
        <f t="shared" si="16"/>
        <v>Groundnut</v>
      </c>
      <c r="B84" s="10">
        <f>H33*$B$65</f>
        <v>0</v>
      </c>
      <c r="C84" s="10">
        <f t="shared" ref="C84:H84" si="35">(B84/B$65)*C$65</f>
        <v>0</v>
      </c>
      <c r="D84" s="10">
        <f t="shared" si="35"/>
        <v>0</v>
      </c>
      <c r="E84" s="10">
        <f t="shared" si="35"/>
        <v>0</v>
      </c>
      <c r="F84" s="10">
        <f t="shared" si="35"/>
        <v>0</v>
      </c>
      <c r="G84" s="10">
        <f t="shared" si="35"/>
        <v>0</v>
      </c>
      <c r="H84" s="10">
        <f t="shared" si="35"/>
        <v>0</v>
      </c>
    </row>
    <row r="85" spans="1:9">
      <c r="A85" s="10">
        <f t="shared" si="16"/>
        <v>0</v>
      </c>
      <c r="B85" s="10">
        <f>H34*$B$65</f>
        <v>0</v>
      </c>
      <c r="C85" s="10">
        <f t="shared" ref="C85:H85" si="36">(B85/B$65)*C$65</f>
        <v>0</v>
      </c>
      <c r="D85" s="10">
        <f t="shared" si="36"/>
        <v>0</v>
      </c>
      <c r="E85" s="10">
        <f t="shared" si="36"/>
        <v>0</v>
      </c>
      <c r="F85" s="10">
        <f t="shared" si="36"/>
        <v>0</v>
      </c>
      <c r="G85" s="10">
        <f t="shared" si="36"/>
        <v>0</v>
      </c>
      <c r="H85" s="10">
        <f t="shared" si="36"/>
        <v>0</v>
      </c>
    </row>
    <row r="86" spans="1:9">
      <c r="A86" s="10">
        <f t="shared" si="16"/>
        <v>0</v>
      </c>
      <c r="B86" s="10">
        <f>H35*$B$65</f>
        <v>0</v>
      </c>
      <c r="C86" s="10">
        <f t="shared" ref="C86:H86" si="37">(B86/B$65)*C$65</f>
        <v>0</v>
      </c>
      <c r="D86" s="10">
        <f t="shared" si="37"/>
        <v>0</v>
      </c>
      <c r="E86" s="10">
        <f t="shared" si="37"/>
        <v>0</v>
      </c>
      <c r="F86" s="10">
        <f t="shared" si="37"/>
        <v>0</v>
      </c>
      <c r="G86" s="10">
        <f t="shared" si="37"/>
        <v>0</v>
      </c>
      <c r="H86" s="10">
        <f t="shared" si="37"/>
        <v>0</v>
      </c>
    </row>
    <row r="87" spans="1:9">
      <c r="A87" s="10">
        <f t="shared" si="16"/>
        <v>0</v>
      </c>
      <c r="B87" s="10">
        <f>H36*$B$65</f>
        <v>0</v>
      </c>
      <c r="C87" s="10">
        <f t="shared" ref="C87:H87" si="38">(B87/B$65)*C$65</f>
        <v>0</v>
      </c>
      <c r="D87" s="10">
        <f t="shared" si="38"/>
        <v>0</v>
      </c>
      <c r="E87" s="10">
        <f t="shared" si="38"/>
        <v>0</v>
      </c>
      <c r="F87" s="10">
        <f t="shared" si="38"/>
        <v>0</v>
      </c>
      <c r="G87" s="10">
        <f t="shared" si="38"/>
        <v>0</v>
      </c>
      <c r="H87" s="10">
        <f t="shared" si="38"/>
        <v>0</v>
      </c>
    </row>
    <row r="88" spans="1:9">
      <c r="B88" s="299"/>
      <c r="C88" s="299"/>
      <c r="D88" s="299"/>
      <c r="E88" s="299"/>
      <c r="F88" s="299"/>
      <c r="G88" s="299"/>
      <c r="H88" s="299"/>
      <c r="I88" s="299"/>
    </row>
    <row r="89" spans="1:9">
      <c r="A89" s="479" t="s">
        <v>587</v>
      </c>
      <c r="B89" s="480"/>
      <c r="C89" s="480"/>
      <c r="D89" s="480"/>
      <c r="E89" s="480"/>
      <c r="F89" s="480"/>
      <c r="G89" s="480"/>
      <c r="H89" s="481"/>
    </row>
    <row r="90" spans="1:9">
      <c r="A90" s="463" t="s">
        <v>0</v>
      </c>
      <c r="B90" s="345">
        <v>1E-10</v>
      </c>
      <c r="C90" s="345">
        <v>1E-10</v>
      </c>
      <c r="D90" s="345">
        <v>1E-10</v>
      </c>
      <c r="E90" s="345">
        <v>1E-10</v>
      </c>
      <c r="F90" s="345">
        <v>1E-10</v>
      </c>
      <c r="G90" s="345">
        <v>1E-10</v>
      </c>
      <c r="H90" s="345">
        <v>1E-10</v>
      </c>
    </row>
    <row r="91" spans="1:9">
      <c r="A91" s="464"/>
      <c r="B91" s="311" t="s">
        <v>2</v>
      </c>
      <c r="C91" s="311" t="s">
        <v>3</v>
      </c>
      <c r="D91" s="311" t="s">
        <v>4</v>
      </c>
      <c r="E91" s="311" t="s">
        <v>5</v>
      </c>
      <c r="F91" s="311" t="s">
        <v>6</v>
      </c>
      <c r="G91" s="311" t="s">
        <v>171</v>
      </c>
      <c r="H91" s="311" t="s">
        <v>170</v>
      </c>
    </row>
    <row r="92" spans="1:9" s="13" customFormat="1">
      <c r="A92" s="10" t="str">
        <f t="shared" ref="A92:A112" si="39">A67</f>
        <v>Soybean</v>
      </c>
      <c r="B92" s="10"/>
      <c r="C92" s="308"/>
      <c r="D92" s="308"/>
      <c r="E92" s="308"/>
      <c r="F92" s="308"/>
      <c r="G92" s="308"/>
      <c r="H92" s="308"/>
    </row>
    <row r="93" spans="1:9">
      <c r="A93" s="10" t="str">
        <f t="shared" si="39"/>
        <v>Red Gram/Tur</v>
      </c>
      <c r="B93" s="10"/>
      <c r="C93" s="308"/>
      <c r="D93" s="308"/>
      <c r="E93" s="308"/>
      <c r="F93" s="308"/>
      <c r="G93" s="308"/>
      <c r="H93" s="308"/>
    </row>
    <row r="94" spans="1:9">
      <c r="A94" s="10" t="str">
        <f t="shared" si="39"/>
        <v>Paddy/Rice</v>
      </c>
      <c r="B94" s="10"/>
      <c r="C94" s="308"/>
      <c r="D94" s="308"/>
      <c r="E94" s="308"/>
      <c r="F94" s="308"/>
      <c r="G94" s="308"/>
      <c r="H94" s="308"/>
    </row>
    <row r="95" spans="1:9">
      <c r="A95" s="10" t="str">
        <f t="shared" si="39"/>
        <v>Green Gram/ Moong</v>
      </c>
      <c r="B95" s="10"/>
      <c r="C95" s="308"/>
      <c r="D95" s="308"/>
      <c r="E95" s="308"/>
      <c r="F95" s="308"/>
      <c r="G95" s="308"/>
      <c r="H95" s="308"/>
    </row>
    <row r="96" spans="1:9">
      <c r="A96" s="10" t="str">
        <f t="shared" si="39"/>
        <v>Maize</v>
      </c>
      <c r="B96" s="308"/>
      <c r="C96" s="308"/>
      <c r="D96" s="308"/>
      <c r="E96" s="308"/>
      <c r="F96" s="308"/>
      <c r="G96" s="308"/>
      <c r="H96" s="308"/>
    </row>
    <row r="97" spans="1:8">
      <c r="A97" s="10" t="str">
        <f t="shared" si="39"/>
        <v>Black Gram/Udid</v>
      </c>
      <c r="B97" s="10"/>
      <c r="C97" s="308"/>
      <c r="D97" s="308"/>
      <c r="E97" s="308"/>
      <c r="F97" s="308"/>
      <c r="G97" s="308"/>
      <c r="H97" s="308"/>
    </row>
    <row r="98" spans="1:8">
      <c r="A98" s="10" t="str">
        <f t="shared" si="39"/>
        <v>Bajra</v>
      </c>
      <c r="B98" s="10"/>
      <c r="C98" s="308"/>
      <c r="D98" s="308"/>
      <c r="E98" s="308"/>
      <c r="F98" s="308"/>
      <c r="G98" s="308"/>
      <c r="H98" s="308"/>
    </row>
    <row r="99" spans="1:8">
      <c r="A99" s="10" t="str">
        <f t="shared" si="39"/>
        <v>Jawar</v>
      </c>
      <c r="B99" s="10"/>
      <c r="C99" s="308"/>
      <c r="D99" s="308"/>
      <c r="E99" s="308"/>
      <c r="F99" s="308"/>
      <c r="G99" s="308"/>
      <c r="H99" s="308"/>
    </row>
    <row r="100" spans="1:8">
      <c r="A100" s="10" t="str">
        <f t="shared" si="39"/>
        <v>Sunflower</v>
      </c>
      <c r="B100" s="10"/>
      <c r="C100" s="308"/>
      <c r="D100" s="308"/>
      <c r="E100" s="308"/>
      <c r="F100" s="308"/>
      <c r="G100" s="308"/>
      <c r="H100" s="308"/>
    </row>
    <row r="101" spans="1:8">
      <c r="A101" s="10" t="str">
        <f t="shared" si="39"/>
        <v>Wheat</v>
      </c>
      <c r="B101" s="10"/>
      <c r="C101" s="308"/>
      <c r="D101" s="308"/>
      <c r="E101" s="308"/>
      <c r="F101" s="308"/>
      <c r="G101" s="308"/>
      <c r="H101" s="308"/>
    </row>
    <row r="102" spans="1:8">
      <c r="A102" s="10" t="str">
        <f t="shared" si="39"/>
        <v>Bengal Gram/Channa</v>
      </c>
      <c r="B102" s="10"/>
      <c r="C102" s="308"/>
      <c r="D102" s="308"/>
      <c r="E102" s="308"/>
      <c r="F102" s="308"/>
      <c r="G102" s="308"/>
      <c r="H102" s="308"/>
    </row>
    <row r="103" spans="1:8">
      <c r="A103" s="10" t="str">
        <f t="shared" si="39"/>
        <v>Jawar</v>
      </c>
      <c r="B103" s="10"/>
      <c r="C103" s="308"/>
      <c r="D103" s="308"/>
      <c r="E103" s="308"/>
      <c r="F103" s="308"/>
      <c r="G103" s="308"/>
      <c r="H103" s="308"/>
    </row>
    <row r="104" spans="1:8">
      <c r="A104" s="10" t="str">
        <f t="shared" si="39"/>
        <v>Maize</v>
      </c>
      <c r="B104" s="10"/>
      <c r="C104" s="308"/>
      <c r="D104" s="308"/>
      <c r="E104" s="308"/>
      <c r="F104" s="308"/>
      <c r="G104" s="308"/>
      <c r="H104" s="308"/>
    </row>
    <row r="105" spans="1:8">
      <c r="A105" s="10" t="str">
        <f t="shared" si="39"/>
        <v>Safflower</v>
      </c>
      <c r="B105" s="10"/>
      <c r="C105" s="308"/>
      <c r="D105" s="308"/>
      <c r="E105" s="308"/>
      <c r="F105" s="308"/>
      <c r="G105" s="308"/>
      <c r="H105" s="308"/>
    </row>
    <row r="106" spans="1:8">
      <c r="A106" s="10">
        <f t="shared" si="39"/>
        <v>0</v>
      </c>
      <c r="B106" s="10"/>
      <c r="C106" s="308"/>
      <c r="D106" s="308"/>
      <c r="E106" s="308"/>
      <c r="F106" s="308"/>
      <c r="G106" s="308"/>
      <c r="H106" s="308"/>
    </row>
    <row r="107" spans="1:8">
      <c r="A107" s="10">
        <f t="shared" si="39"/>
        <v>0</v>
      </c>
      <c r="B107" s="10">
        <f t="shared" ref="B107:B108" si="40">D30*$B$90</f>
        <v>0</v>
      </c>
      <c r="C107" s="308">
        <f t="shared" ref="C107:C113" si="41">(B107/B$90)*C$90</f>
        <v>0</v>
      </c>
      <c r="D107" s="308">
        <f t="shared" ref="D107:H113" si="42">(C107/C$90)*D$90</f>
        <v>0</v>
      </c>
      <c r="E107" s="308">
        <f t="shared" si="42"/>
        <v>0</v>
      </c>
      <c r="F107" s="308">
        <f t="shared" si="42"/>
        <v>0</v>
      </c>
      <c r="G107" s="308">
        <f t="shared" si="42"/>
        <v>0</v>
      </c>
      <c r="H107" s="308">
        <f t="shared" si="42"/>
        <v>0</v>
      </c>
    </row>
    <row r="108" spans="1:8">
      <c r="A108" s="10">
        <f t="shared" si="39"/>
        <v>0</v>
      </c>
      <c r="B108" s="10">
        <f t="shared" si="40"/>
        <v>0</v>
      </c>
      <c r="C108" s="308">
        <f t="shared" si="41"/>
        <v>0</v>
      </c>
      <c r="D108" s="308">
        <f t="shared" si="42"/>
        <v>0</v>
      </c>
      <c r="E108" s="308">
        <f t="shared" si="42"/>
        <v>0</v>
      </c>
      <c r="F108" s="308">
        <f t="shared" si="42"/>
        <v>0</v>
      </c>
      <c r="G108" s="308">
        <f t="shared" si="42"/>
        <v>0</v>
      </c>
      <c r="H108" s="308">
        <f t="shared" si="42"/>
        <v>0</v>
      </c>
    </row>
    <row r="109" spans="1:8">
      <c r="A109" s="10" t="str">
        <f t="shared" si="39"/>
        <v>Groundnut</v>
      </c>
      <c r="B109" s="10">
        <f>D33*$B$90</f>
        <v>0</v>
      </c>
      <c r="C109" s="308">
        <f t="shared" si="41"/>
        <v>0</v>
      </c>
      <c r="D109" s="308">
        <f t="shared" si="42"/>
        <v>0</v>
      </c>
      <c r="E109" s="308">
        <f t="shared" si="42"/>
        <v>0</v>
      </c>
      <c r="F109" s="308">
        <f t="shared" si="42"/>
        <v>0</v>
      </c>
      <c r="G109" s="308">
        <f t="shared" si="42"/>
        <v>0</v>
      </c>
      <c r="H109" s="308">
        <f t="shared" si="42"/>
        <v>0</v>
      </c>
    </row>
    <row r="110" spans="1:8">
      <c r="A110" s="10">
        <f t="shared" si="39"/>
        <v>0</v>
      </c>
      <c r="B110" s="10">
        <f>D34*$B$90</f>
        <v>0</v>
      </c>
      <c r="C110" s="308">
        <f t="shared" si="41"/>
        <v>0</v>
      </c>
      <c r="D110" s="308">
        <f t="shared" si="42"/>
        <v>0</v>
      </c>
      <c r="E110" s="308">
        <f t="shared" si="42"/>
        <v>0</v>
      </c>
      <c r="F110" s="308">
        <f t="shared" si="42"/>
        <v>0</v>
      </c>
      <c r="G110" s="308">
        <f t="shared" si="42"/>
        <v>0</v>
      </c>
      <c r="H110" s="308">
        <f t="shared" si="42"/>
        <v>0</v>
      </c>
    </row>
    <row r="111" spans="1:8">
      <c r="A111" s="10">
        <f t="shared" si="39"/>
        <v>0</v>
      </c>
      <c r="B111" s="10">
        <f>D34*$B$90</f>
        <v>0</v>
      </c>
      <c r="C111" s="308">
        <f t="shared" si="41"/>
        <v>0</v>
      </c>
      <c r="D111" s="308">
        <f t="shared" si="42"/>
        <v>0</v>
      </c>
      <c r="E111" s="308">
        <f t="shared" si="42"/>
        <v>0</v>
      </c>
      <c r="F111" s="308">
        <f t="shared" si="42"/>
        <v>0</v>
      </c>
      <c r="G111" s="308">
        <f t="shared" si="42"/>
        <v>0</v>
      </c>
      <c r="H111" s="308">
        <f t="shared" si="42"/>
        <v>0</v>
      </c>
    </row>
    <row r="112" spans="1:8">
      <c r="A112" s="10">
        <f t="shared" si="39"/>
        <v>0</v>
      </c>
      <c r="B112" s="10">
        <f>D36*$B$90</f>
        <v>0</v>
      </c>
      <c r="C112" s="308">
        <f t="shared" si="41"/>
        <v>0</v>
      </c>
      <c r="D112" s="308">
        <f t="shared" si="42"/>
        <v>0</v>
      </c>
      <c r="E112" s="308">
        <f t="shared" si="42"/>
        <v>0</v>
      </c>
      <c r="F112" s="308">
        <f t="shared" si="42"/>
        <v>0</v>
      </c>
      <c r="G112" s="308">
        <f t="shared" si="42"/>
        <v>0</v>
      </c>
      <c r="H112" s="308">
        <f t="shared" si="42"/>
        <v>0</v>
      </c>
    </row>
    <row r="113" spans="1:9">
      <c r="A113" s="10"/>
      <c r="B113" s="10">
        <f>D37*$B$90</f>
        <v>0</v>
      </c>
      <c r="C113" s="308">
        <f t="shared" si="41"/>
        <v>0</v>
      </c>
      <c r="D113" s="308">
        <f t="shared" si="42"/>
        <v>0</v>
      </c>
      <c r="E113" s="308">
        <f t="shared" si="42"/>
        <v>0</v>
      </c>
      <c r="F113" s="308">
        <f t="shared" si="42"/>
        <v>0</v>
      </c>
      <c r="G113" s="308">
        <f t="shared" si="42"/>
        <v>0</v>
      </c>
      <c r="H113" s="308">
        <f t="shared" si="42"/>
        <v>0</v>
      </c>
    </row>
    <row r="115" spans="1:9">
      <c r="C115" s="4"/>
      <c r="D115" s="6"/>
      <c r="E115" s="6"/>
      <c r="F115" s="6"/>
      <c r="G115" s="6"/>
      <c r="H115" s="6"/>
      <c r="I115" s="6"/>
    </row>
    <row r="116" spans="1:9">
      <c r="A116" t="s">
        <v>555</v>
      </c>
      <c r="C116" s="309"/>
      <c r="D116" s="309"/>
      <c r="E116" s="309"/>
      <c r="F116" s="309"/>
      <c r="G116" s="309"/>
      <c r="H116" s="309"/>
      <c r="I116" s="309"/>
    </row>
    <row r="117" spans="1:9">
      <c r="A117">
        <v>1</v>
      </c>
      <c r="B117" t="s">
        <v>608</v>
      </c>
    </row>
    <row r="118" spans="1:9">
      <c r="A118">
        <v>2</v>
      </c>
      <c r="B118" t="s">
        <v>609</v>
      </c>
    </row>
    <row r="119" spans="1:9">
      <c r="A119">
        <v>3</v>
      </c>
      <c r="B119" t="s">
        <v>558</v>
      </c>
    </row>
  </sheetData>
  <mergeCells count="12">
    <mergeCell ref="A1:H1"/>
    <mergeCell ref="A3:B3"/>
    <mergeCell ref="A90:A91"/>
    <mergeCell ref="A11:H11"/>
    <mergeCell ref="A37:H37"/>
    <mergeCell ref="A14:A22"/>
    <mergeCell ref="A39:H39"/>
    <mergeCell ref="A40:A41"/>
    <mergeCell ref="A64:H64"/>
    <mergeCell ref="A65:A66"/>
    <mergeCell ref="A89:H89"/>
    <mergeCell ref="A24:A31"/>
  </mergeCells>
  <pageMargins left="0.7" right="0.7" top="0.75" bottom="0.75" header="0.3" footer="0.3"/>
  <pageSetup scale="7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32"/>
  <sheetViews>
    <sheetView view="pageBreakPreview" topLeftCell="A151" zoomScale="85" zoomScaleSheetLayoutView="85" workbookViewId="0">
      <selection sqref="A1:H1"/>
    </sheetView>
  </sheetViews>
  <sheetFormatPr defaultRowHeight="15"/>
  <cols>
    <col min="1" max="1" width="44.28515625" bestFit="1" customWidth="1"/>
    <col min="2" max="2" width="23.28515625" bestFit="1" customWidth="1"/>
    <col min="3" max="3" width="11.5703125" customWidth="1"/>
    <col min="4" max="4" width="18.85546875" customWidth="1"/>
    <col min="5" max="5" width="15.140625" customWidth="1"/>
    <col min="6" max="7" width="15.85546875" customWidth="1"/>
    <col min="8" max="8" width="21.28515625" customWidth="1"/>
    <col min="9" max="9" width="11.42578125" bestFit="1" customWidth="1"/>
    <col min="10" max="10" width="9.140625" bestFit="1" customWidth="1"/>
  </cols>
  <sheetData>
    <row r="1" spans="1:26" ht="18.75">
      <c r="A1" s="417" t="s">
        <v>512</v>
      </c>
      <c r="B1" s="417"/>
      <c r="C1" s="417"/>
      <c r="D1" s="417"/>
      <c r="E1" s="417"/>
      <c r="F1" s="417"/>
      <c r="G1" s="417"/>
      <c r="H1" s="417"/>
    </row>
    <row r="2" spans="1:26">
      <c r="B2" s="4"/>
    </row>
    <row r="3" spans="1:26" ht="18.75">
      <c r="A3" s="462" t="s">
        <v>588</v>
      </c>
      <c r="B3" s="462"/>
    </row>
    <row r="4" spans="1:26">
      <c r="A4" s="293" t="s">
        <v>0</v>
      </c>
      <c r="B4" s="311" t="s">
        <v>399</v>
      </c>
      <c r="C4" s="312"/>
      <c r="D4" s="312"/>
      <c r="E4" s="312"/>
      <c r="F4" s="312"/>
      <c r="G4" s="312"/>
      <c r="H4" s="312"/>
    </row>
    <row r="5" spans="1:26">
      <c r="A5" s="10" t="s">
        <v>505</v>
      </c>
      <c r="B5" s="289"/>
      <c r="C5" s="313"/>
      <c r="D5" s="314"/>
      <c r="E5" s="314"/>
      <c r="F5" s="314"/>
      <c r="G5" s="314"/>
      <c r="H5" s="314"/>
    </row>
    <row r="6" spans="1:26">
      <c r="A6" s="10" t="s">
        <v>506</v>
      </c>
      <c r="B6" s="289"/>
      <c r="C6" s="313"/>
      <c r="D6" s="314"/>
      <c r="E6" s="314"/>
      <c r="F6" s="314"/>
      <c r="G6" s="314"/>
      <c r="H6" s="314"/>
    </row>
    <row r="7" spans="1:26">
      <c r="A7" s="2" t="s">
        <v>1</v>
      </c>
      <c r="B7" s="337">
        <f>B5+B6</f>
        <v>0</v>
      </c>
      <c r="C7" s="315"/>
      <c r="D7" s="316"/>
      <c r="E7" s="316"/>
      <c r="F7" s="316"/>
      <c r="G7" s="316"/>
      <c r="H7" s="316"/>
    </row>
    <row r="8" spans="1:26">
      <c r="A8" s="2" t="s">
        <v>507</v>
      </c>
      <c r="B8" s="336">
        <v>1</v>
      </c>
      <c r="C8" s="315"/>
      <c r="D8" s="315"/>
      <c r="E8" s="315"/>
      <c r="F8" s="315"/>
      <c r="G8" s="315"/>
      <c r="H8" s="315"/>
    </row>
    <row r="9" spans="1:26">
      <c r="A9" s="2" t="s">
        <v>508</v>
      </c>
      <c r="B9" s="337">
        <f>B7*B8</f>
        <v>0</v>
      </c>
      <c r="C9" s="316"/>
      <c r="D9" s="316"/>
      <c r="E9" s="316"/>
      <c r="F9" s="316"/>
      <c r="G9" s="316"/>
      <c r="H9" s="316"/>
    </row>
    <row r="10" spans="1:26">
      <c r="J10" t="s">
        <v>464</v>
      </c>
      <c r="O10" t="s">
        <v>460</v>
      </c>
      <c r="U10" t="s">
        <v>461</v>
      </c>
      <c r="Y10" t="s">
        <v>462</v>
      </c>
      <c r="Z10" t="s">
        <v>463</v>
      </c>
    </row>
    <row r="11" spans="1:26" ht="18.75">
      <c r="A11" s="417" t="s">
        <v>589</v>
      </c>
      <c r="B11" s="417"/>
      <c r="C11" s="417"/>
      <c r="D11" s="417"/>
      <c r="E11" s="417"/>
      <c r="F11" s="417"/>
      <c r="G11" s="417"/>
      <c r="H11" s="417"/>
      <c r="I11" s="288"/>
      <c r="J11" s="288"/>
      <c r="K11" s="288"/>
      <c r="L11" s="288"/>
      <c r="M11" s="288"/>
      <c r="N11" s="288"/>
      <c r="O11" s="288"/>
      <c r="P11" s="288"/>
    </row>
    <row r="12" spans="1:26">
      <c r="J12" s="3">
        <v>0.65</v>
      </c>
      <c r="K12" s="307">
        <f>J12+0.05</f>
        <v>0.70000000000000007</v>
      </c>
      <c r="L12" s="307">
        <f t="shared" ref="L12:N12" si="0">K12+0.05</f>
        <v>0.75000000000000011</v>
      </c>
      <c r="M12" s="307">
        <f t="shared" si="0"/>
        <v>0.80000000000000016</v>
      </c>
      <c r="N12" s="307">
        <f t="shared" si="0"/>
        <v>0.8500000000000002</v>
      </c>
      <c r="O12" s="3">
        <v>0.4</v>
      </c>
      <c r="P12" s="3">
        <f>O12+0.05</f>
        <v>0.45</v>
      </c>
      <c r="Q12" s="3">
        <f t="shared" ref="Q12:T12" si="1">P12+0.05</f>
        <v>0.5</v>
      </c>
      <c r="R12" s="3">
        <f t="shared" si="1"/>
        <v>0.55000000000000004</v>
      </c>
      <c r="S12" s="3">
        <f t="shared" si="1"/>
        <v>0.60000000000000009</v>
      </c>
      <c r="T12" s="3">
        <f t="shared" si="1"/>
        <v>0.65000000000000013</v>
      </c>
      <c r="U12" s="3">
        <v>0.1</v>
      </c>
      <c r="V12" s="6">
        <f>U12+0.05</f>
        <v>0.15000000000000002</v>
      </c>
      <c r="W12" s="6">
        <f t="shared" ref="W12:X12" si="2">V12+0.05</f>
        <v>0.2</v>
      </c>
      <c r="X12" s="6">
        <f t="shared" si="2"/>
        <v>0.25</v>
      </c>
    </row>
    <row r="13" spans="1:26" ht="45">
      <c r="A13" s="293" t="s">
        <v>403</v>
      </c>
      <c r="B13" s="293" t="s">
        <v>404</v>
      </c>
      <c r="C13" s="294" t="s">
        <v>457</v>
      </c>
      <c r="D13" s="294" t="s">
        <v>465</v>
      </c>
      <c r="E13" s="294" t="s">
        <v>466</v>
      </c>
      <c r="F13" s="294" t="s">
        <v>405</v>
      </c>
      <c r="G13" s="294" t="s">
        <v>656</v>
      </c>
      <c r="H13" s="294" t="s">
        <v>406</v>
      </c>
      <c r="O13" s="306" t="s">
        <v>2</v>
      </c>
      <c r="P13" s="306" t="s">
        <v>3</v>
      </c>
      <c r="Q13" s="306" t="s">
        <v>4</v>
      </c>
      <c r="R13" s="306" t="s">
        <v>5</v>
      </c>
      <c r="S13" s="306" t="s">
        <v>6</v>
      </c>
      <c r="T13" s="306" t="s">
        <v>2</v>
      </c>
      <c r="U13" s="306" t="s">
        <v>3</v>
      </c>
      <c r="V13" s="306" t="s">
        <v>4</v>
      </c>
      <c r="W13" s="306" t="s">
        <v>5</v>
      </c>
      <c r="X13" s="306" t="s">
        <v>6</v>
      </c>
    </row>
    <row r="14" spans="1:26">
      <c r="A14" s="466" t="s">
        <v>407</v>
      </c>
      <c r="B14" s="289" t="s">
        <v>495</v>
      </c>
      <c r="C14" s="304">
        <v>0</v>
      </c>
      <c r="D14" s="10">
        <f t="shared" ref="D14:D40" si="3">$B$9*C14</f>
        <v>0</v>
      </c>
      <c r="E14" s="290">
        <v>15</v>
      </c>
      <c r="F14" s="10">
        <f>D14*E14</f>
        <v>0</v>
      </c>
      <c r="G14" s="305">
        <v>0.1</v>
      </c>
      <c r="H14" s="10">
        <f>(F14-F14*G14)</f>
        <v>0</v>
      </c>
      <c r="J14">
        <f>$D$14*J12</f>
        <v>0</v>
      </c>
      <c r="K14">
        <f>$D$14*K12</f>
        <v>0</v>
      </c>
      <c r="L14">
        <f>$D$14*L12</f>
        <v>0</v>
      </c>
      <c r="M14">
        <f>$D$14*M12</f>
        <v>0</v>
      </c>
      <c r="N14">
        <f>$D$14*N12</f>
        <v>0</v>
      </c>
    </row>
    <row r="15" spans="1:26">
      <c r="A15" s="467"/>
      <c r="B15" s="289" t="s">
        <v>496</v>
      </c>
      <c r="C15" s="304">
        <v>0</v>
      </c>
      <c r="D15" s="10">
        <f t="shared" si="3"/>
        <v>0</v>
      </c>
      <c r="E15" s="290">
        <v>7</v>
      </c>
      <c r="F15" s="10">
        <f t="shared" ref="F15:F40" si="4">D15*E15</f>
        <v>0</v>
      </c>
      <c r="G15" s="305">
        <v>0.05</v>
      </c>
      <c r="H15" s="10">
        <f>(F15-F15*G15)</f>
        <v>0</v>
      </c>
    </row>
    <row r="16" spans="1:26">
      <c r="A16" s="467"/>
      <c r="B16" s="289" t="s">
        <v>497</v>
      </c>
      <c r="C16" s="304">
        <v>0</v>
      </c>
      <c r="D16" s="10">
        <f t="shared" si="3"/>
        <v>0</v>
      </c>
      <c r="E16" s="290">
        <v>4</v>
      </c>
      <c r="F16" s="10">
        <f t="shared" si="4"/>
        <v>0</v>
      </c>
      <c r="G16" s="305">
        <v>0</v>
      </c>
      <c r="H16" s="10">
        <f t="shared" ref="H16:H40" si="5">(F16-F16*G16)</f>
        <v>0</v>
      </c>
    </row>
    <row r="17" spans="1:8">
      <c r="A17" s="467"/>
      <c r="B17" s="289" t="s">
        <v>498</v>
      </c>
      <c r="C17" s="304">
        <v>0</v>
      </c>
      <c r="D17" s="10">
        <f t="shared" si="3"/>
        <v>0</v>
      </c>
      <c r="E17" s="290">
        <v>7</v>
      </c>
      <c r="F17" s="10">
        <f t="shared" si="4"/>
        <v>0</v>
      </c>
      <c r="G17" s="305">
        <v>0.02</v>
      </c>
      <c r="H17" s="10">
        <f t="shared" si="5"/>
        <v>0</v>
      </c>
    </row>
    <row r="18" spans="1:8">
      <c r="A18" s="467"/>
      <c r="B18" s="289" t="s">
        <v>500</v>
      </c>
      <c r="C18" s="304">
        <v>0</v>
      </c>
      <c r="D18" s="10">
        <f t="shared" si="3"/>
        <v>0</v>
      </c>
      <c r="E18" s="290">
        <v>20</v>
      </c>
      <c r="F18" s="10">
        <f t="shared" si="4"/>
        <v>0</v>
      </c>
      <c r="G18" s="305">
        <v>0</v>
      </c>
      <c r="H18" s="10">
        <f t="shared" si="5"/>
        <v>0</v>
      </c>
    </row>
    <row r="19" spans="1:8">
      <c r="A19" s="467"/>
      <c r="B19" s="289"/>
      <c r="C19" s="304">
        <v>0</v>
      </c>
      <c r="D19" s="10">
        <f t="shared" si="3"/>
        <v>0</v>
      </c>
      <c r="E19" s="290">
        <v>7</v>
      </c>
      <c r="F19" s="10">
        <f t="shared" si="4"/>
        <v>0</v>
      </c>
      <c r="G19" s="305">
        <v>0.1</v>
      </c>
      <c r="H19" s="10">
        <f t="shared" si="5"/>
        <v>0</v>
      </c>
    </row>
    <row r="20" spans="1:8">
      <c r="A20" s="467"/>
      <c r="B20" s="289"/>
      <c r="C20" s="304">
        <v>0</v>
      </c>
      <c r="D20" s="10">
        <f t="shared" si="3"/>
        <v>0</v>
      </c>
      <c r="E20" s="290">
        <v>6</v>
      </c>
      <c r="F20" s="10">
        <f t="shared" si="4"/>
        <v>0</v>
      </c>
      <c r="G20" s="305">
        <v>0.02</v>
      </c>
      <c r="H20" s="10">
        <f t="shared" si="5"/>
        <v>0</v>
      </c>
    </row>
    <row r="21" spans="1:8">
      <c r="A21" s="467"/>
      <c r="B21" s="289"/>
      <c r="C21" s="304">
        <v>0</v>
      </c>
      <c r="D21" s="10">
        <f t="shared" si="3"/>
        <v>0</v>
      </c>
      <c r="E21" s="290"/>
      <c r="F21" s="10">
        <f t="shared" si="4"/>
        <v>0</v>
      </c>
      <c r="G21" s="305">
        <v>0</v>
      </c>
      <c r="H21" s="10">
        <f t="shared" si="5"/>
        <v>0</v>
      </c>
    </row>
    <row r="22" spans="1:8">
      <c r="A22" s="468"/>
      <c r="B22" s="289"/>
      <c r="C22" s="304">
        <v>0</v>
      </c>
      <c r="D22" s="10">
        <f t="shared" si="3"/>
        <v>0</v>
      </c>
      <c r="E22" s="290"/>
      <c r="F22" s="10">
        <f t="shared" si="4"/>
        <v>0</v>
      </c>
      <c r="G22" s="305">
        <v>0</v>
      </c>
      <c r="H22" s="10">
        <f t="shared" si="5"/>
        <v>0</v>
      </c>
    </row>
    <row r="23" spans="1:8">
      <c r="A23" s="335" t="s">
        <v>513</v>
      </c>
      <c r="B23" s="329"/>
      <c r="C23" s="330">
        <f>B9*B23</f>
        <v>0</v>
      </c>
      <c r="D23" s="10"/>
      <c r="E23" s="290"/>
      <c r="F23" s="10"/>
      <c r="G23" s="305"/>
      <c r="H23" s="10"/>
    </row>
    <row r="24" spans="1:8">
      <c r="A24" s="466" t="s">
        <v>409</v>
      </c>
      <c r="B24" s="289" t="s">
        <v>495</v>
      </c>
      <c r="C24" s="304">
        <v>0</v>
      </c>
      <c r="D24" s="10">
        <f>C$23*C24</f>
        <v>0</v>
      </c>
      <c r="E24" s="290">
        <v>10</v>
      </c>
      <c r="F24" s="10">
        <f t="shared" si="4"/>
        <v>0</v>
      </c>
      <c r="G24" s="305">
        <v>0.1</v>
      </c>
      <c r="H24" s="10">
        <f t="shared" si="5"/>
        <v>0</v>
      </c>
    </row>
    <row r="25" spans="1:8">
      <c r="A25" s="467"/>
      <c r="B25" s="289" t="s">
        <v>496</v>
      </c>
      <c r="C25" s="304">
        <v>0</v>
      </c>
      <c r="D25" s="10">
        <f>C$23*C25</f>
        <v>0</v>
      </c>
      <c r="E25" s="290">
        <v>10</v>
      </c>
      <c r="F25" s="10">
        <f t="shared" si="4"/>
        <v>0</v>
      </c>
      <c r="G25" s="305">
        <v>0.1</v>
      </c>
      <c r="H25" s="10">
        <f t="shared" si="5"/>
        <v>0</v>
      </c>
    </row>
    <row r="26" spans="1:8">
      <c r="A26" s="467"/>
      <c r="B26" s="289" t="s">
        <v>497</v>
      </c>
      <c r="C26" s="304">
        <v>0</v>
      </c>
      <c r="D26" s="10">
        <f>C$23*C26</f>
        <v>0</v>
      </c>
      <c r="E26" s="290">
        <v>10</v>
      </c>
      <c r="F26" s="10">
        <f t="shared" si="4"/>
        <v>0</v>
      </c>
      <c r="G26" s="305">
        <v>0.05</v>
      </c>
      <c r="H26" s="10">
        <f t="shared" si="5"/>
        <v>0</v>
      </c>
    </row>
    <row r="27" spans="1:8">
      <c r="A27" s="467"/>
      <c r="B27" s="289" t="s">
        <v>498</v>
      </c>
      <c r="C27" s="304">
        <v>0</v>
      </c>
      <c r="D27" s="10">
        <f t="shared" ref="D27:D31" si="6">C$23*C27</f>
        <v>0</v>
      </c>
      <c r="E27" s="290">
        <v>20</v>
      </c>
      <c r="F27" s="10">
        <f t="shared" si="4"/>
        <v>0</v>
      </c>
      <c r="G27" s="305">
        <v>0</v>
      </c>
      <c r="H27" s="10">
        <f t="shared" si="5"/>
        <v>0</v>
      </c>
    </row>
    <row r="28" spans="1:8">
      <c r="A28" s="467"/>
      <c r="B28" s="289" t="s">
        <v>499</v>
      </c>
      <c r="C28" s="304">
        <v>0</v>
      </c>
      <c r="D28" s="10">
        <f t="shared" si="6"/>
        <v>0</v>
      </c>
      <c r="E28" s="290"/>
      <c r="F28" s="10">
        <f t="shared" si="4"/>
        <v>0</v>
      </c>
      <c r="G28" s="305">
        <v>0</v>
      </c>
      <c r="H28" s="10">
        <f t="shared" si="5"/>
        <v>0</v>
      </c>
    </row>
    <row r="29" spans="1:8">
      <c r="A29" s="467"/>
      <c r="B29" s="289"/>
      <c r="C29" s="304">
        <v>0</v>
      </c>
      <c r="D29" s="10">
        <f t="shared" si="6"/>
        <v>0</v>
      </c>
      <c r="E29" s="290"/>
      <c r="F29" s="10">
        <f t="shared" si="4"/>
        <v>0</v>
      </c>
      <c r="G29" s="305">
        <v>0</v>
      </c>
      <c r="H29" s="10">
        <f t="shared" si="5"/>
        <v>0</v>
      </c>
    </row>
    <row r="30" spans="1:8">
      <c r="A30" s="467"/>
      <c r="B30" s="289"/>
      <c r="C30" s="304">
        <v>0</v>
      </c>
      <c r="D30" s="10">
        <f t="shared" si="6"/>
        <v>0</v>
      </c>
      <c r="E30" s="290"/>
      <c r="F30" s="10">
        <f t="shared" si="4"/>
        <v>0</v>
      </c>
      <c r="G30" s="305">
        <v>0</v>
      </c>
      <c r="H30" s="10">
        <f t="shared" si="5"/>
        <v>0</v>
      </c>
    </row>
    <row r="31" spans="1:8">
      <c r="A31" s="468"/>
      <c r="B31" s="289"/>
      <c r="C31" s="304">
        <v>0</v>
      </c>
      <c r="D31" s="10">
        <f t="shared" si="6"/>
        <v>0</v>
      </c>
      <c r="E31" s="290"/>
      <c r="F31" s="10">
        <f t="shared" si="4"/>
        <v>0</v>
      </c>
      <c r="G31" s="305">
        <v>0</v>
      </c>
      <c r="H31" s="10">
        <f t="shared" si="5"/>
        <v>0</v>
      </c>
    </row>
    <row r="32" spans="1:8">
      <c r="A32" s="335" t="s">
        <v>514</v>
      </c>
      <c r="B32" s="329"/>
      <c r="C32" s="289">
        <f>B9*B32</f>
        <v>0</v>
      </c>
      <c r="D32" s="10"/>
      <c r="E32" s="290"/>
      <c r="F32" s="10"/>
      <c r="G32" s="305"/>
      <c r="H32" s="10"/>
    </row>
    <row r="33" spans="1:8">
      <c r="A33" s="332" t="s">
        <v>471</v>
      </c>
      <c r="B33" s="289"/>
      <c r="C33" s="304">
        <v>0</v>
      </c>
      <c r="D33" s="10">
        <f>C$32*C33</f>
        <v>0</v>
      </c>
      <c r="E33" s="290"/>
      <c r="F33" s="10">
        <f t="shared" si="4"/>
        <v>0</v>
      </c>
      <c r="G33" s="305">
        <v>0</v>
      </c>
      <c r="H33" s="10">
        <f t="shared" si="5"/>
        <v>0</v>
      </c>
    </row>
    <row r="34" spans="1:8">
      <c r="A34" s="333"/>
      <c r="B34" s="289"/>
      <c r="C34" s="304">
        <v>0</v>
      </c>
      <c r="D34" s="10">
        <f>C$32*C34</f>
        <v>0</v>
      </c>
      <c r="E34" s="290"/>
      <c r="F34" s="10">
        <f t="shared" si="4"/>
        <v>0</v>
      </c>
      <c r="G34" s="305">
        <v>0</v>
      </c>
      <c r="H34" s="10">
        <f t="shared" si="5"/>
        <v>0</v>
      </c>
    </row>
    <row r="35" spans="1:8">
      <c r="A35" s="333"/>
      <c r="B35" s="289"/>
      <c r="C35" s="304">
        <v>0</v>
      </c>
      <c r="D35" s="10">
        <f>C$32*C35</f>
        <v>0</v>
      </c>
      <c r="E35" s="290"/>
      <c r="F35" s="10">
        <f t="shared" si="4"/>
        <v>0</v>
      </c>
      <c r="G35" s="305">
        <v>0</v>
      </c>
      <c r="H35" s="10">
        <f t="shared" si="5"/>
        <v>0</v>
      </c>
    </row>
    <row r="36" spans="1:8">
      <c r="A36" s="334"/>
      <c r="B36" s="289"/>
      <c r="C36" s="304">
        <v>0</v>
      </c>
      <c r="D36" s="10">
        <f>C$32*C36</f>
        <v>0</v>
      </c>
      <c r="E36" s="290"/>
      <c r="F36" s="10">
        <f t="shared" si="4"/>
        <v>0</v>
      </c>
      <c r="G36" s="305">
        <v>0</v>
      </c>
      <c r="H36" s="10">
        <f t="shared" si="5"/>
        <v>0</v>
      </c>
    </row>
    <row r="37" spans="1:8">
      <c r="A37" s="482" t="s">
        <v>515</v>
      </c>
      <c r="B37" s="289" t="s">
        <v>501</v>
      </c>
      <c r="C37" s="304">
        <v>0</v>
      </c>
      <c r="D37" s="10">
        <f t="shared" si="3"/>
        <v>0</v>
      </c>
      <c r="E37" s="290">
        <v>6</v>
      </c>
      <c r="F37" s="10">
        <f t="shared" si="4"/>
        <v>0</v>
      </c>
      <c r="G37" s="305">
        <v>0.05</v>
      </c>
      <c r="H37" s="10">
        <f t="shared" si="5"/>
        <v>0</v>
      </c>
    </row>
    <row r="38" spans="1:8">
      <c r="A38" s="482"/>
      <c r="B38" s="289" t="s">
        <v>502</v>
      </c>
      <c r="C38" s="304">
        <v>0</v>
      </c>
      <c r="D38" s="10">
        <f t="shared" si="3"/>
        <v>0</v>
      </c>
      <c r="E38" s="290"/>
      <c r="F38" s="10">
        <f t="shared" si="4"/>
        <v>0</v>
      </c>
      <c r="G38" s="305">
        <v>0</v>
      </c>
      <c r="H38" s="10">
        <f t="shared" si="5"/>
        <v>0</v>
      </c>
    </row>
    <row r="39" spans="1:8">
      <c r="A39" s="482"/>
      <c r="B39" s="289" t="s">
        <v>503</v>
      </c>
      <c r="C39" s="304">
        <v>0</v>
      </c>
      <c r="D39" s="10">
        <f t="shared" si="3"/>
        <v>0</v>
      </c>
      <c r="E39" s="290"/>
      <c r="F39" s="10">
        <f t="shared" si="4"/>
        <v>0</v>
      </c>
      <c r="G39" s="305">
        <v>0</v>
      </c>
      <c r="H39" s="10">
        <f t="shared" si="5"/>
        <v>0</v>
      </c>
    </row>
    <row r="40" spans="1:8">
      <c r="A40" s="482"/>
      <c r="B40" s="289" t="s">
        <v>504</v>
      </c>
      <c r="C40" s="304">
        <v>0</v>
      </c>
      <c r="D40" s="10">
        <f t="shared" si="3"/>
        <v>0</v>
      </c>
      <c r="E40" s="290"/>
      <c r="F40" s="10">
        <f t="shared" si="4"/>
        <v>0</v>
      </c>
      <c r="G40" s="305">
        <v>0</v>
      </c>
      <c r="H40" s="10">
        <f t="shared" si="5"/>
        <v>0</v>
      </c>
    </row>
    <row r="41" spans="1:8">
      <c r="A41" s="465" t="s">
        <v>413</v>
      </c>
      <c r="B41" s="465"/>
      <c r="C41" s="465"/>
      <c r="D41" s="465"/>
      <c r="E41" s="465"/>
      <c r="F41" s="465"/>
      <c r="G41" s="465"/>
      <c r="H41" s="465"/>
    </row>
    <row r="43" spans="1:8" ht="18.75">
      <c r="A43" s="469" t="s">
        <v>590</v>
      </c>
      <c r="B43" s="470"/>
      <c r="C43" s="470"/>
      <c r="D43" s="470"/>
      <c r="E43" s="470"/>
      <c r="F43" s="470"/>
      <c r="G43" s="470"/>
      <c r="H43" s="471"/>
    </row>
    <row r="44" spans="1:8">
      <c r="A44" s="472" t="s">
        <v>0</v>
      </c>
      <c r="B44" s="320">
        <v>0.35</v>
      </c>
      <c r="C44" s="320">
        <f>B44+0.05</f>
        <v>0.39999999999999997</v>
      </c>
      <c r="D44" s="320">
        <f t="shared" ref="D44:G44" si="7">C44+0.05</f>
        <v>0.44999999999999996</v>
      </c>
      <c r="E44" s="320">
        <f t="shared" si="7"/>
        <v>0.49999999999999994</v>
      </c>
      <c r="F44" s="320">
        <f t="shared" si="7"/>
        <v>0.54999999999999993</v>
      </c>
      <c r="G44" s="320">
        <f t="shared" si="7"/>
        <v>0.6</v>
      </c>
      <c r="H44" s="320">
        <f>G44+0.05</f>
        <v>0.65</v>
      </c>
    </row>
    <row r="45" spans="1:8">
      <c r="A45" s="473"/>
      <c r="B45" s="311" t="s">
        <v>2</v>
      </c>
      <c r="C45" s="311" t="s">
        <v>3</v>
      </c>
      <c r="D45" s="311" t="s">
        <v>4</v>
      </c>
      <c r="E45" s="311" t="s">
        <v>5</v>
      </c>
      <c r="F45" s="311" t="s">
        <v>6</v>
      </c>
      <c r="G45" s="311" t="s">
        <v>171</v>
      </c>
      <c r="H45" s="311" t="s">
        <v>170</v>
      </c>
    </row>
    <row r="46" spans="1:8">
      <c r="A46" s="10" t="str">
        <f t="shared" ref="A46:A54" si="8">B14</f>
        <v>Onion</v>
      </c>
      <c r="B46" s="10">
        <f t="shared" ref="B46:B54" si="9">H14*$B$44</f>
        <v>0</v>
      </c>
      <c r="C46" s="10">
        <f t="shared" ref="C46:H61" si="10">(B46/B$44)*C$44</f>
        <v>0</v>
      </c>
      <c r="D46" s="10">
        <f t="shared" si="10"/>
        <v>0</v>
      </c>
      <c r="E46" s="10">
        <f t="shared" si="10"/>
        <v>0</v>
      </c>
      <c r="F46" s="10">
        <f t="shared" si="10"/>
        <v>0</v>
      </c>
      <c r="G46" s="10">
        <f t="shared" si="10"/>
        <v>0</v>
      </c>
      <c r="H46" s="10">
        <f t="shared" si="10"/>
        <v>0</v>
      </c>
    </row>
    <row r="47" spans="1:8">
      <c r="A47" s="10" t="str">
        <f t="shared" si="8"/>
        <v>Tomato</v>
      </c>
      <c r="B47" s="10">
        <f t="shared" si="9"/>
        <v>0</v>
      </c>
      <c r="C47" s="10">
        <f t="shared" si="10"/>
        <v>0</v>
      </c>
      <c r="D47" s="10">
        <f t="shared" si="10"/>
        <v>0</v>
      </c>
      <c r="E47" s="10">
        <f t="shared" si="10"/>
        <v>0</v>
      </c>
      <c r="F47" s="10">
        <f t="shared" si="10"/>
        <v>0</v>
      </c>
      <c r="G47" s="10">
        <f t="shared" si="10"/>
        <v>0</v>
      </c>
      <c r="H47" s="10">
        <f t="shared" si="10"/>
        <v>0</v>
      </c>
    </row>
    <row r="48" spans="1:8">
      <c r="A48" s="10" t="str">
        <f t="shared" si="8"/>
        <v>Okra</v>
      </c>
      <c r="B48" s="10">
        <f t="shared" si="9"/>
        <v>0</v>
      </c>
      <c r="C48" s="10">
        <f t="shared" si="10"/>
        <v>0</v>
      </c>
      <c r="D48" s="10">
        <f t="shared" si="10"/>
        <v>0</v>
      </c>
      <c r="E48" s="10">
        <f t="shared" si="10"/>
        <v>0</v>
      </c>
      <c r="F48" s="10">
        <f t="shared" si="10"/>
        <v>0</v>
      </c>
      <c r="G48" s="10">
        <f t="shared" si="10"/>
        <v>0</v>
      </c>
      <c r="H48" s="10">
        <f t="shared" si="10"/>
        <v>0</v>
      </c>
    </row>
    <row r="49" spans="1:8">
      <c r="A49" s="10" t="str">
        <f t="shared" si="8"/>
        <v>Chilli</v>
      </c>
      <c r="B49" s="10">
        <f t="shared" si="9"/>
        <v>0</v>
      </c>
      <c r="C49" s="10">
        <f t="shared" si="10"/>
        <v>0</v>
      </c>
      <c r="D49" s="10">
        <f t="shared" si="10"/>
        <v>0</v>
      </c>
      <c r="E49" s="10">
        <f t="shared" si="10"/>
        <v>0</v>
      </c>
      <c r="F49" s="10">
        <f t="shared" si="10"/>
        <v>0</v>
      </c>
      <c r="G49" s="10">
        <f t="shared" si="10"/>
        <v>0</v>
      </c>
      <c r="H49" s="10">
        <f t="shared" si="10"/>
        <v>0</v>
      </c>
    </row>
    <row r="50" spans="1:8">
      <c r="A50" s="10" t="str">
        <f t="shared" si="8"/>
        <v>Potato</v>
      </c>
      <c r="B50" s="10">
        <f t="shared" si="9"/>
        <v>0</v>
      </c>
      <c r="C50" s="10">
        <f t="shared" si="10"/>
        <v>0</v>
      </c>
      <c r="D50" s="10">
        <f t="shared" si="10"/>
        <v>0</v>
      </c>
      <c r="E50" s="10">
        <f t="shared" si="10"/>
        <v>0</v>
      </c>
      <c r="F50" s="10">
        <f t="shared" si="10"/>
        <v>0</v>
      </c>
      <c r="G50" s="10">
        <f t="shared" si="10"/>
        <v>0</v>
      </c>
      <c r="H50" s="10">
        <f t="shared" si="10"/>
        <v>0</v>
      </c>
    </row>
    <row r="51" spans="1:8">
      <c r="A51" s="10">
        <f t="shared" si="8"/>
        <v>0</v>
      </c>
      <c r="B51" s="10">
        <f t="shared" si="9"/>
        <v>0</v>
      </c>
      <c r="C51" s="10">
        <f t="shared" si="10"/>
        <v>0</v>
      </c>
      <c r="D51" s="10">
        <f t="shared" si="10"/>
        <v>0</v>
      </c>
      <c r="E51" s="10">
        <f t="shared" si="10"/>
        <v>0</v>
      </c>
      <c r="F51" s="10">
        <f t="shared" si="10"/>
        <v>0</v>
      </c>
      <c r="G51" s="10">
        <f t="shared" si="10"/>
        <v>0</v>
      </c>
      <c r="H51" s="10">
        <f t="shared" si="10"/>
        <v>0</v>
      </c>
    </row>
    <row r="52" spans="1:8">
      <c r="A52" s="10">
        <f t="shared" si="8"/>
        <v>0</v>
      </c>
      <c r="B52" s="10">
        <f t="shared" si="9"/>
        <v>0</v>
      </c>
      <c r="C52" s="10">
        <f t="shared" si="10"/>
        <v>0</v>
      </c>
      <c r="D52" s="10">
        <f t="shared" si="10"/>
        <v>0</v>
      </c>
      <c r="E52" s="10">
        <f t="shared" si="10"/>
        <v>0</v>
      </c>
      <c r="F52" s="10">
        <f t="shared" si="10"/>
        <v>0</v>
      </c>
      <c r="G52" s="10">
        <f t="shared" si="10"/>
        <v>0</v>
      </c>
      <c r="H52" s="10">
        <f t="shared" si="10"/>
        <v>0</v>
      </c>
    </row>
    <row r="53" spans="1:8">
      <c r="A53" s="10">
        <f t="shared" si="8"/>
        <v>0</v>
      </c>
      <c r="B53" s="10">
        <f t="shared" si="9"/>
        <v>0</v>
      </c>
      <c r="C53" s="10">
        <f t="shared" si="10"/>
        <v>0</v>
      </c>
      <c r="D53" s="10">
        <f t="shared" si="10"/>
        <v>0</v>
      </c>
      <c r="E53" s="10">
        <f t="shared" si="10"/>
        <v>0</v>
      </c>
      <c r="F53" s="10">
        <f t="shared" si="10"/>
        <v>0</v>
      </c>
      <c r="G53" s="10">
        <f t="shared" si="10"/>
        <v>0</v>
      </c>
      <c r="H53" s="10">
        <f t="shared" si="10"/>
        <v>0</v>
      </c>
    </row>
    <row r="54" spans="1:8">
      <c r="A54" s="10">
        <f t="shared" si="8"/>
        <v>0</v>
      </c>
      <c r="B54" s="10">
        <f t="shared" si="9"/>
        <v>0</v>
      </c>
      <c r="C54" s="10">
        <f t="shared" si="10"/>
        <v>0</v>
      </c>
      <c r="D54" s="10">
        <f t="shared" si="10"/>
        <v>0</v>
      </c>
      <c r="E54" s="10">
        <f t="shared" si="10"/>
        <v>0</v>
      </c>
      <c r="F54" s="10">
        <f t="shared" si="10"/>
        <v>0</v>
      </c>
      <c r="G54" s="10">
        <f t="shared" si="10"/>
        <v>0</v>
      </c>
      <c r="H54" s="10">
        <f t="shared" si="10"/>
        <v>0</v>
      </c>
    </row>
    <row r="55" spans="1:8">
      <c r="A55" s="10" t="str">
        <f t="shared" ref="A55:A62" si="11">B24</f>
        <v>Onion</v>
      </c>
      <c r="B55" s="10">
        <f t="shared" ref="B55:B61" si="12">H24*$B$44</f>
        <v>0</v>
      </c>
      <c r="C55" s="10">
        <f t="shared" si="10"/>
        <v>0</v>
      </c>
      <c r="D55" s="10">
        <f t="shared" si="10"/>
        <v>0</v>
      </c>
      <c r="E55" s="10">
        <f t="shared" si="10"/>
        <v>0</v>
      </c>
      <c r="F55" s="10">
        <f t="shared" si="10"/>
        <v>0</v>
      </c>
      <c r="G55" s="10">
        <f t="shared" si="10"/>
        <v>0</v>
      </c>
      <c r="H55" s="10">
        <f t="shared" si="10"/>
        <v>0</v>
      </c>
    </row>
    <row r="56" spans="1:8">
      <c r="A56" s="10" t="str">
        <f t="shared" si="11"/>
        <v>Tomato</v>
      </c>
      <c r="B56" s="10">
        <f t="shared" si="12"/>
        <v>0</v>
      </c>
      <c r="C56" s="10">
        <f t="shared" si="10"/>
        <v>0</v>
      </c>
      <c r="D56" s="10">
        <f t="shared" si="10"/>
        <v>0</v>
      </c>
      <c r="E56" s="10">
        <f t="shared" si="10"/>
        <v>0</v>
      </c>
      <c r="F56" s="10">
        <f t="shared" si="10"/>
        <v>0</v>
      </c>
      <c r="G56" s="10">
        <f t="shared" si="10"/>
        <v>0</v>
      </c>
      <c r="H56" s="10">
        <f t="shared" si="10"/>
        <v>0</v>
      </c>
    </row>
    <row r="57" spans="1:8">
      <c r="A57" s="10" t="str">
        <f t="shared" si="11"/>
        <v>Okra</v>
      </c>
      <c r="B57" s="10">
        <f t="shared" si="12"/>
        <v>0</v>
      </c>
      <c r="C57" s="10">
        <f t="shared" si="10"/>
        <v>0</v>
      </c>
      <c r="D57" s="10">
        <f t="shared" si="10"/>
        <v>0</v>
      </c>
      <c r="E57" s="10">
        <f t="shared" si="10"/>
        <v>0</v>
      </c>
      <c r="F57" s="10">
        <f t="shared" si="10"/>
        <v>0</v>
      </c>
      <c r="G57" s="10">
        <f t="shared" si="10"/>
        <v>0</v>
      </c>
      <c r="H57" s="10">
        <f t="shared" si="10"/>
        <v>0</v>
      </c>
    </row>
    <row r="58" spans="1:8">
      <c r="A58" s="10" t="str">
        <f t="shared" si="11"/>
        <v>Chilli</v>
      </c>
      <c r="B58" s="10">
        <f t="shared" si="12"/>
        <v>0</v>
      </c>
      <c r="C58" s="10">
        <f t="shared" si="10"/>
        <v>0</v>
      </c>
      <c r="D58" s="10">
        <f t="shared" si="10"/>
        <v>0</v>
      </c>
      <c r="E58" s="10">
        <f t="shared" si="10"/>
        <v>0</v>
      </c>
      <c r="F58" s="10">
        <f t="shared" si="10"/>
        <v>0</v>
      </c>
      <c r="G58" s="10">
        <f t="shared" si="10"/>
        <v>0</v>
      </c>
      <c r="H58" s="10">
        <f t="shared" si="10"/>
        <v>0</v>
      </c>
    </row>
    <row r="59" spans="1:8">
      <c r="A59" s="10" t="str">
        <f t="shared" si="11"/>
        <v>Brinjal</v>
      </c>
      <c r="B59" s="10">
        <f t="shared" si="12"/>
        <v>0</v>
      </c>
      <c r="C59" s="10">
        <f t="shared" si="10"/>
        <v>0</v>
      </c>
      <c r="D59" s="10">
        <f t="shared" si="10"/>
        <v>0</v>
      </c>
      <c r="E59" s="10">
        <f t="shared" si="10"/>
        <v>0</v>
      </c>
      <c r="F59" s="10">
        <f t="shared" si="10"/>
        <v>0</v>
      </c>
      <c r="G59" s="10">
        <f t="shared" si="10"/>
        <v>0</v>
      </c>
      <c r="H59" s="10">
        <f t="shared" si="10"/>
        <v>0</v>
      </c>
    </row>
    <row r="60" spans="1:8">
      <c r="A60" s="10">
        <f t="shared" si="11"/>
        <v>0</v>
      </c>
      <c r="B60" s="10">
        <f t="shared" si="12"/>
        <v>0</v>
      </c>
      <c r="C60" s="10">
        <f t="shared" si="10"/>
        <v>0</v>
      </c>
      <c r="D60" s="10">
        <f t="shared" si="10"/>
        <v>0</v>
      </c>
      <c r="E60" s="10">
        <f t="shared" si="10"/>
        <v>0</v>
      </c>
      <c r="F60" s="10">
        <f t="shared" si="10"/>
        <v>0</v>
      </c>
      <c r="G60" s="10">
        <f t="shared" si="10"/>
        <v>0</v>
      </c>
      <c r="H60" s="10">
        <f t="shared" si="10"/>
        <v>0</v>
      </c>
    </row>
    <row r="61" spans="1:8">
      <c r="A61" s="10">
        <f t="shared" si="11"/>
        <v>0</v>
      </c>
      <c r="B61" s="10">
        <f t="shared" si="12"/>
        <v>0</v>
      </c>
      <c r="C61" s="10">
        <f t="shared" si="10"/>
        <v>0</v>
      </c>
      <c r="D61" s="10">
        <f t="shared" si="10"/>
        <v>0</v>
      </c>
      <c r="E61" s="10">
        <f t="shared" si="10"/>
        <v>0</v>
      </c>
      <c r="F61" s="10">
        <f t="shared" si="10"/>
        <v>0</v>
      </c>
      <c r="G61" s="10">
        <f t="shared" si="10"/>
        <v>0</v>
      </c>
      <c r="H61" s="10">
        <f t="shared" si="10"/>
        <v>0</v>
      </c>
    </row>
    <row r="62" spans="1:8">
      <c r="A62" s="10">
        <f t="shared" si="11"/>
        <v>0</v>
      </c>
      <c r="B62" s="10">
        <f t="shared" ref="B62" si="13">H31*$B$44</f>
        <v>0</v>
      </c>
      <c r="C62" s="10">
        <f t="shared" ref="C62:H70" si="14">(B62/B$44)*C$44</f>
        <v>0</v>
      </c>
      <c r="D62" s="10">
        <f t="shared" si="14"/>
        <v>0</v>
      </c>
      <c r="E62" s="10">
        <f t="shared" si="14"/>
        <v>0</v>
      </c>
      <c r="F62" s="10">
        <f t="shared" si="14"/>
        <v>0</v>
      </c>
      <c r="G62" s="10">
        <f t="shared" si="14"/>
        <v>0</v>
      </c>
      <c r="H62" s="10">
        <f t="shared" si="14"/>
        <v>0</v>
      </c>
    </row>
    <row r="63" spans="1:8">
      <c r="A63" s="10">
        <f t="shared" ref="A63:A66" si="15">B33</f>
        <v>0</v>
      </c>
      <c r="B63" s="10">
        <f t="shared" ref="B63:B70" si="16">H33*$B$44</f>
        <v>0</v>
      </c>
      <c r="C63" s="10">
        <f t="shared" si="14"/>
        <v>0</v>
      </c>
      <c r="D63" s="10">
        <f t="shared" ref="D63:D66" si="17">(C63/C$44)*D$44</f>
        <v>0</v>
      </c>
      <c r="E63" s="10">
        <f t="shared" ref="E63:E66" si="18">(D63/D$44)*E$44</f>
        <v>0</v>
      </c>
      <c r="F63" s="10">
        <f t="shared" ref="F63:F66" si="19">(E63/E$44)*F$44</f>
        <v>0</v>
      </c>
      <c r="G63" s="10">
        <f t="shared" ref="G63:G66" si="20">(F63/F$44)*G$44</f>
        <v>0</v>
      </c>
      <c r="H63" s="10">
        <f t="shared" ref="H63:H66" si="21">(G63/G$44)*H$44</f>
        <v>0</v>
      </c>
    </row>
    <row r="64" spans="1:8">
      <c r="A64" s="10">
        <f t="shared" si="15"/>
        <v>0</v>
      </c>
      <c r="B64" s="10">
        <f t="shared" si="16"/>
        <v>0</v>
      </c>
      <c r="C64" s="10">
        <f t="shared" si="14"/>
        <v>0</v>
      </c>
      <c r="D64" s="10">
        <f t="shared" si="17"/>
        <v>0</v>
      </c>
      <c r="E64" s="10">
        <f t="shared" si="18"/>
        <v>0</v>
      </c>
      <c r="F64" s="10">
        <f t="shared" si="19"/>
        <v>0</v>
      </c>
      <c r="G64" s="10">
        <f t="shared" si="20"/>
        <v>0</v>
      </c>
      <c r="H64" s="10">
        <f t="shared" si="21"/>
        <v>0</v>
      </c>
    </row>
    <row r="65" spans="1:8">
      <c r="A65" s="10">
        <f t="shared" si="15"/>
        <v>0</v>
      </c>
      <c r="B65" s="10">
        <f t="shared" si="16"/>
        <v>0</v>
      </c>
      <c r="C65" s="10">
        <f t="shared" si="14"/>
        <v>0</v>
      </c>
      <c r="D65" s="10">
        <f t="shared" si="17"/>
        <v>0</v>
      </c>
      <c r="E65" s="10">
        <f t="shared" si="18"/>
        <v>0</v>
      </c>
      <c r="F65" s="10">
        <f t="shared" si="19"/>
        <v>0</v>
      </c>
      <c r="G65" s="10">
        <f t="shared" si="20"/>
        <v>0</v>
      </c>
      <c r="H65" s="10">
        <f t="shared" si="21"/>
        <v>0</v>
      </c>
    </row>
    <row r="66" spans="1:8">
      <c r="A66" s="10">
        <f t="shared" si="15"/>
        <v>0</v>
      </c>
      <c r="B66" s="10">
        <f t="shared" si="16"/>
        <v>0</v>
      </c>
      <c r="C66" s="10">
        <f t="shared" si="14"/>
        <v>0</v>
      </c>
      <c r="D66" s="10">
        <f t="shared" si="17"/>
        <v>0</v>
      </c>
      <c r="E66" s="10">
        <f t="shared" si="18"/>
        <v>0</v>
      </c>
      <c r="F66" s="10">
        <f t="shared" si="19"/>
        <v>0</v>
      </c>
      <c r="G66" s="10">
        <f t="shared" si="20"/>
        <v>0</v>
      </c>
      <c r="H66" s="10">
        <f t="shared" si="21"/>
        <v>0</v>
      </c>
    </row>
    <row r="67" spans="1:8">
      <c r="A67" s="10" t="str">
        <f>B37</f>
        <v>Pomegranate</v>
      </c>
      <c r="B67" s="10">
        <f t="shared" si="16"/>
        <v>0</v>
      </c>
      <c r="C67" s="10">
        <f t="shared" si="14"/>
        <v>0</v>
      </c>
      <c r="D67" s="10">
        <f t="shared" si="14"/>
        <v>0</v>
      </c>
      <c r="E67" s="10">
        <f t="shared" si="14"/>
        <v>0</v>
      </c>
      <c r="F67" s="10">
        <f t="shared" si="14"/>
        <v>0</v>
      </c>
      <c r="G67" s="10">
        <f t="shared" si="14"/>
        <v>0</v>
      </c>
      <c r="H67" s="10">
        <f t="shared" si="14"/>
        <v>0</v>
      </c>
    </row>
    <row r="68" spans="1:8">
      <c r="A68" s="10" t="str">
        <f t="shared" ref="A68:A70" si="22">B38</f>
        <v>Custard Apple</v>
      </c>
      <c r="B68" s="10">
        <f t="shared" si="16"/>
        <v>0</v>
      </c>
      <c r="C68" s="10">
        <f t="shared" si="14"/>
        <v>0</v>
      </c>
      <c r="D68" s="10">
        <f t="shared" si="14"/>
        <v>0</v>
      </c>
      <c r="E68" s="10">
        <f t="shared" si="14"/>
        <v>0</v>
      </c>
      <c r="F68" s="10">
        <f t="shared" si="14"/>
        <v>0</v>
      </c>
      <c r="G68" s="10">
        <f t="shared" si="14"/>
        <v>0</v>
      </c>
      <c r="H68" s="10">
        <f t="shared" si="14"/>
        <v>0</v>
      </c>
    </row>
    <row r="69" spans="1:8">
      <c r="A69" s="10" t="str">
        <f t="shared" si="22"/>
        <v>Guava</v>
      </c>
      <c r="B69" s="10">
        <f t="shared" si="16"/>
        <v>0</v>
      </c>
      <c r="C69" s="10">
        <f t="shared" si="14"/>
        <v>0</v>
      </c>
      <c r="D69" s="10">
        <f t="shared" si="14"/>
        <v>0</v>
      </c>
      <c r="E69" s="10">
        <f t="shared" si="14"/>
        <v>0</v>
      </c>
      <c r="F69" s="10">
        <f t="shared" si="14"/>
        <v>0</v>
      </c>
      <c r="G69" s="10">
        <f t="shared" si="14"/>
        <v>0</v>
      </c>
      <c r="H69" s="10">
        <f t="shared" si="14"/>
        <v>0</v>
      </c>
    </row>
    <row r="70" spans="1:8">
      <c r="A70" s="10" t="str">
        <f t="shared" si="22"/>
        <v>Citrus</v>
      </c>
      <c r="B70" s="10">
        <f t="shared" si="16"/>
        <v>0</v>
      </c>
      <c r="C70" s="10">
        <f t="shared" si="14"/>
        <v>0</v>
      </c>
      <c r="D70" s="10">
        <f t="shared" si="14"/>
        <v>0</v>
      </c>
      <c r="E70" s="10">
        <f t="shared" ref="E70" si="23">(D70/D$44)*E$44</f>
        <v>0</v>
      </c>
      <c r="F70" s="10">
        <f t="shared" ref="F70" si="24">(E70/E$44)*F$44</f>
        <v>0</v>
      </c>
      <c r="G70" s="10">
        <f t="shared" ref="G70:H70" si="25">(F70/F$44)*G$44</f>
        <v>0</v>
      </c>
      <c r="H70" s="10">
        <f t="shared" si="25"/>
        <v>0</v>
      </c>
    </row>
    <row r="71" spans="1:8" ht="18.75">
      <c r="A71" s="474" t="s">
        <v>591</v>
      </c>
      <c r="B71" s="475"/>
      <c r="C71" s="475"/>
      <c r="D71" s="475"/>
      <c r="E71" s="475"/>
      <c r="F71" s="475"/>
      <c r="G71" s="475"/>
      <c r="H71" s="476"/>
    </row>
    <row r="72" spans="1:8">
      <c r="A72" s="477" t="s">
        <v>0</v>
      </c>
      <c r="B72" s="321">
        <v>0.05</v>
      </c>
      <c r="C72" s="321">
        <f>B72+0.05</f>
        <v>0.1</v>
      </c>
      <c r="D72" s="321">
        <f t="shared" ref="D72:G72" si="26">C72+0.05</f>
        <v>0.15000000000000002</v>
      </c>
      <c r="E72" s="321">
        <f t="shared" si="26"/>
        <v>0.2</v>
      </c>
      <c r="F72" s="321">
        <f t="shared" si="26"/>
        <v>0.25</v>
      </c>
      <c r="G72" s="321">
        <f t="shared" si="26"/>
        <v>0.3</v>
      </c>
      <c r="H72" s="321">
        <f>G72+0.05</f>
        <v>0.35</v>
      </c>
    </row>
    <row r="73" spans="1:8">
      <c r="A73" s="478"/>
      <c r="B73" s="311" t="s">
        <v>2</v>
      </c>
      <c r="C73" s="311" t="s">
        <v>3</v>
      </c>
      <c r="D73" s="311" t="s">
        <v>4</v>
      </c>
      <c r="E73" s="311" t="s">
        <v>5</v>
      </c>
      <c r="F73" s="311" t="s">
        <v>6</v>
      </c>
      <c r="G73" s="311" t="s">
        <v>171</v>
      </c>
      <c r="H73" s="311" t="s">
        <v>170</v>
      </c>
    </row>
    <row r="74" spans="1:8" s="13" customFormat="1">
      <c r="A74" s="10" t="str">
        <f t="shared" ref="A74:A98" si="27">A46</f>
        <v>Onion</v>
      </c>
      <c r="B74" s="10">
        <f t="shared" ref="B74:H74" si="28">H14*$B$72</f>
        <v>0</v>
      </c>
      <c r="C74" s="10">
        <f t="shared" si="28"/>
        <v>0</v>
      </c>
      <c r="D74" s="10">
        <f t="shared" si="28"/>
        <v>0</v>
      </c>
      <c r="E74" s="10">
        <f t="shared" si="28"/>
        <v>0</v>
      </c>
      <c r="F74" s="10">
        <f t="shared" si="28"/>
        <v>0</v>
      </c>
      <c r="G74" s="10">
        <f t="shared" si="28"/>
        <v>0</v>
      </c>
      <c r="H74" s="10">
        <f t="shared" si="28"/>
        <v>0</v>
      </c>
    </row>
    <row r="75" spans="1:8">
      <c r="A75" s="10" t="str">
        <f t="shared" si="27"/>
        <v>Tomato</v>
      </c>
      <c r="B75" s="10">
        <f>H15*$B$72*0</f>
        <v>0</v>
      </c>
      <c r="C75" s="10">
        <f>(B75/B72)*C72</f>
        <v>0</v>
      </c>
      <c r="D75" s="10">
        <f t="shared" ref="D75:G75" si="29">(C75/C72)*D72</f>
        <v>0</v>
      </c>
      <c r="E75" s="10">
        <f t="shared" si="29"/>
        <v>0</v>
      </c>
      <c r="F75" s="10">
        <f t="shared" si="29"/>
        <v>0</v>
      </c>
      <c r="G75" s="10">
        <f t="shared" si="29"/>
        <v>0</v>
      </c>
      <c r="H75" s="10">
        <f>(G75/G72)*H72</f>
        <v>0</v>
      </c>
    </row>
    <row r="76" spans="1:8">
      <c r="A76" s="10" t="str">
        <f t="shared" si="27"/>
        <v>Okra</v>
      </c>
      <c r="B76" s="10">
        <f t="shared" ref="B76:B82" si="30">H16*$B$72</f>
        <v>0</v>
      </c>
      <c r="C76" s="10">
        <f>(B76/B72)*C72</f>
        <v>0</v>
      </c>
      <c r="D76" s="10">
        <f>(C76/C72)*D72</f>
        <v>0</v>
      </c>
      <c r="E76" s="10">
        <f t="shared" ref="E76:G76" si="31">(D76/D72)*E72</f>
        <v>0</v>
      </c>
      <c r="F76" s="10">
        <f t="shared" si="31"/>
        <v>0</v>
      </c>
      <c r="G76" s="10">
        <f t="shared" si="31"/>
        <v>0</v>
      </c>
      <c r="H76" s="10">
        <f>(G76/G72)*H72</f>
        <v>0</v>
      </c>
    </row>
    <row r="77" spans="1:8">
      <c r="A77" s="10" t="str">
        <f t="shared" si="27"/>
        <v>Chilli</v>
      </c>
      <c r="B77" s="10">
        <f>H17*$B$72*0</f>
        <v>0</v>
      </c>
      <c r="C77" s="10">
        <f t="shared" ref="C77:H95" si="32">(B77/B$72)*C$72</f>
        <v>0</v>
      </c>
      <c r="D77" s="10">
        <f t="shared" si="32"/>
        <v>0</v>
      </c>
      <c r="E77" s="10">
        <f t="shared" si="32"/>
        <v>0</v>
      </c>
      <c r="F77" s="10">
        <f t="shared" si="32"/>
        <v>0</v>
      </c>
      <c r="G77" s="10">
        <f t="shared" si="32"/>
        <v>0</v>
      </c>
      <c r="H77" s="10">
        <f t="shared" si="32"/>
        <v>0</v>
      </c>
    </row>
    <row r="78" spans="1:8">
      <c r="A78" s="10" t="str">
        <f t="shared" si="27"/>
        <v>Potato</v>
      </c>
      <c r="B78" s="10">
        <f t="shared" si="30"/>
        <v>0</v>
      </c>
      <c r="C78" s="10">
        <f t="shared" si="32"/>
        <v>0</v>
      </c>
      <c r="D78" s="10">
        <f t="shared" si="32"/>
        <v>0</v>
      </c>
      <c r="E78" s="10">
        <f t="shared" si="32"/>
        <v>0</v>
      </c>
      <c r="F78" s="10">
        <f t="shared" si="32"/>
        <v>0</v>
      </c>
      <c r="G78" s="10">
        <f t="shared" si="32"/>
        <v>0</v>
      </c>
      <c r="H78" s="10">
        <f t="shared" si="32"/>
        <v>0</v>
      </c>
    </row>
    <row r="79" spans="1:8">
      <c r="A79" s="10">
        <f t="shared" si="27"/>
        <v>0</v>
      </c>
      <c r="B79" s="10">
        <f>H19*$B$72*0</f>
        <v>0</v>
      </c>
      <c r="C79" s="10">
        <f t="shared" si="32"/>
        <v>0</v>
      </c>
      <c r="D79" s="10">
        <f t="shared" si="32"/>
        <v>0</v>
      </c>
      <c r="E79" s="10">
        <f t="shared" si="32"/>
        <v>0</v>
      </c>
      <c r="F79" s="10">
        <f t="shared" si="32"/>
        <v>0</v>
      </c>
      <c r="G79" s="10">
        <f t="shared" si="32"/>
        <v>0</v>
      </c>
      <c r="H79" s="10">
        <f t="shared" si="32"/>
        <v>0</v>
      </c>
    </row>
    <row r="80" spans="1:8">
      <c r="A80" s="10">
        <f t="shared" si="27"/>
        <v>0</v>
      </c>
      <c r="B80" s="10">
        <f>H20*$B$72*0</f>
        <v>0</v>
      </c>
      <c r="C80" s="10">
        <f t="shared" si="32"/>
        <v>0</v>
      </c>
      <c r="D80" s="10">
        <f t="shared" si="32"/>
        <v>0</v>
      </c>
      <c r="E80" s="10">
        <f t="shared" si="32"/>
        <v>0</v>
      </c>
      <c r="F80" s="10">
        <f t="shared" si="32"/>
        <v>0</v>
      </c>
      <c r="G80" s="10">
        <f t="shared" si="32"/>
        <v>0</v>
      </c>
      <c r="H80" s="10">
        <f t="shared" si="32"/>
        <v>0</v>
      </c>
    </row>
    <row r="81" spans="1:8">
      <c r="A81" s="10">
        <f t="shared" si="27"/>
        <v>0</v>
      </c>
      <c r="B81" s="10">
        <f t="shared" si="30"/>
        <v>0</v>
      </c>
      <c r="C81" s="10">
        <f t="shared" si="32"/>
        <v>0</v>
      </c>
      <c r="D81" s="10">
        <f t="shared" si="32"/>
        <v>0</v>
      </c>
      <c r="E81" s="10">
        <f t="shared" si="32"/>
        <v>0</v>
      </c>
      <c r="F81" s="10">
        <f t="shared" si="32"/>
        <v>0</v>
      </c>
      <c r="G81" s="10">
        <f t="shared" si="32"/>
        <v>0</v>
      </c>
      <c r="H81" s="10">
        <f t="shared" si="32"/>
        <v>0</v>
      </c>
    </row>
    <row r="82" spans="1:8">
      <c r="A82" s="10">
        <f t="shared" si="27"/>
        <v>0</v>
      </c>
      <c r="B82" s="10">
        <f t="shared" si="30"/>
        <v>0</v>
      </c>
      <c r="C82" s="10">
        <f t="shared" si="32"/>
        <v>0</v>
      </c>
      <c r="D82" s="10">
        <f t="shared" si="32"/>
        <v>0</v>
      </c>
      <c r="E82" s="10">
        <f t="shared" si="32"/>
        <v>0</v>
      </c>
      <c r="F82" s="10">
        <f t="shared" si="32"/>
        <v>0</v>
      </c>
      <c r="G82" s="10">
        <f t="shared" si="32"/>
        <v>0</v>
      </c>
      <c r="H82" s="10">
        <f t="shared" si="32"/>
        <v>0</v>
      </c>
    </row>
    <row r="83" spans="1:8">
      <c r="A83" s="10" t="str">
        <f t="shared" si="27"/>
        <v>Onion</v>
      </c>
      <c r="B83" s="10">
        <f t="shared" ref="B83:B90" si="33">H24*$B$72</f>
        <v>0</v>
      </c>
      <c r="C83" s="10">
        <f t="shared" si="32"/>
        <v>0</v>
      </c>
      <c r="D83" s="10">
        <f t="shared" si="32"/>
        <v>0</v>
      </c>
      <c r="E83" s="10">
        <f t="shared" si="32"/>
        <v>0</v>
      </c>
      <c r="F83" s="10">
        <f t="shared" si="32"/>
        <v>0</v>
      </c>
      <c r="G83" s="10">
        <f t="shared" si="32"/>
        <v>0</v>
      </c>
      <c r="H83" s="10">
        <f t="shared" si="32"/>
        <v>0</v>
      </c>
    </row>
    <row r="84" spans="1:8">
      <c r="A84" s="10" t="str">
        <f t="shared" si="27"/>
        <v>Tomato</v>
      </c>
      <c r="B84" s="10">
        <f t="shared" si="33"/>
        <v>0</v>
      </c>
      <c r="C84" s="10">
        <f t="shared" si="32"/>
        <v>0</v>
      </c>
      <c r="D84" s="10">
        <f t="shared" si="32"/>
        <v>0</v>
      </c>
      <c r="E84" s="10">
        <f t="shared" si="32"/>
        <v>0</v>
      </c>
      <c r="F84" s="10">
        <f t="shared" si="32"/>
        <v>0</v>
      </c>
      <c r="G84" s="10">
        <f t="shared" si="32"/>
        <v>0</v>
      </c>
      <c r="H84" s="10">
        <f t="shared" si="32"/>
        <v>0</v>
      </c>
    </row>
    <row r="85" spans="1:8">
      <c r="A85" s="10" t="str">
        <f t="shared" si="27"/>
        <v>Okra</v>
      </c>
      <c r="B85" s="10">
        <f t="shared" si="33"/>
        <v>0</v>
      </c>
      <c r="C85" s="10">
        <f t="shared" si="32"/>
        <v>0</v>
      </c>
      <c r="D85" s="10">
        <f t="shared" si="32"/>
        <v>0</v>
      </c>
      <c r="E85" s="10">
        <f t="shared" si="32"/>
        <v>0</v>
      </c>
      <c r="F85" s="10">
        <f t="shared" si="32"/>
        <v>0</v>
      </c>
      <c r="G85" s="10">
        <f t="shared" si="32"/>
        <v>0</v>
      </c>
      <c r="H85" s="10">
        <f t="shared" si="32"/>
        <v>0</v>
      </c>
    </row>
    <row r="86" spans="1:8">
      <c r="A86" s="10" t="str">
        <f t="shared" si="27"/>
        <v>Chilli</v>
      </c>
      <c r="B86" s="10">
        <f t="shared" si="33"/>
        <v>0</v>
      </c>
      <c r="C86" s="10">
        <f t="shared" si="32"/>
        <v>0</v>
      </c>
      <c r="D86" s="10">
        <f t="shared" si="32"/>
        <v>0</v>
      </c>
      <c r="E86" s="10">
        <f t="shared" si="32"/>
        <v>0</v>
      </c>
      <c r="F86" s="10">
        <f t="shared" si="32"/>
        <v>0</v>
      </c>
      <c r="G86" s="10">
        <f t="shared" si="32"/>
        <v>0</v>
      </c>
      <c r="H86" s="10">
        <f t="shared" si="32"/>
        <v>0</v>
      </c>
    </row>
    <row r="87" spans="1:8">
      <c r="A87" s="10" t="str">
        <f t="shared" si="27"/>
        <v>Brinjal</v>
      </c>
      <c r="B87" s="10">
        <f t="shared" si="33"/>
        <v>0</v>
      </c>
      <c r="C87" s="10">
        <f t="shared" si="32"/>
        <v>0</v>
      </c>
      <c r="D87" s="10">
        <f t="shared" si="32"/>
        <v>0</v>
      </c>
      <c r="E87" s="10">
        <f t="shared" si="32"/>
        <v>0</v>
      </c>
      <c r="F87" s="10">
        <f t="shared" si="32"/>
        <v>0</v>
      </c>
      <c r="G87" s="10">
        <f t="shared" si="32"/>
        <v>0</v>
      </c>
      <c r="H87" s="10">
        <f t="shared" si="32"/>
        <v>0</v>
      </c>
    </row>
    <row r="88" spans="1:8">
      <c r="A88" s="10">
        <f t="shared" si="27"/>
        <v>0</v>
      </c>
      <c r="B88" s="10">
        <f t="shared" si="33"/>
        <v>0</v>
      </c>
      <c r="C88" s="10">
        <f t="shared" si="32"/>
        <v>0</v>
      </c>
      <c r="D88" s="10">
        <f t="shared" si="32"/>
        <v>0</v>
      </c>
      <c r="E88" s="10">
        <f t="shared" si="32"/>
        <v>0</v>
      </c>
      <c r="F88" s="10">
        <f t="shared" si="32"/>
        <v>0</v>
      </c>
      <c r="G88" s="10">
        <f t="shared" si="32"/>
        <v>0</v>
      </c>
      <c r="H88" s="10">
        <f t="shared" si="32"/>
        <v>0</v>
      </c>
    </row>
    <row r="89" spans="1:8">
      <c r="A89" s="10">
        <f t="shared" si="27"/>
        <v>0</v>
      </c>
      <c r="B89" s="10">
        <f t="shared" si="33"/>
        <v>0</v>
      </c>
      <c r="C89" s="10">
        <f t="shared" si="32"/>
        <v>0</v>
      </c>
      <c r="D89" s="10">
        <f t="shared" si="32"/>
        <v>0</v>
      </c>
      <c r="E89" s="10">
        <f t="shared" si="32"/>
        <v>0</v>
      </c>
      <c r="F89" s="10">
        <f t="shared" si="32"/>
        <v>0</v>
      </c>
      <c r="G89" s="10">
        <f t="shared" si="32"/>
        <v>0</v>
      </c>
      <c r="H89" s="10">
        <f t="shared" si="32"/>
        <v>0</v>
      </c>
    </row>
    <row r="90" spans="1:8">
      <c r="A90" s="10">
        <f t="shared" si="27"/>
        <v>0</v>
      </c>
      <c r="B90" s="10">
        <f t="shared" si="33"/>
        <v>0</v>
      </c>
      <c r="C90" s="10">
        <f t="shared" si="32"/>
        <v>0</v>
      </c>
      <c r="D90" s="10">
        <f t="shared" si="32"/>
        <v>0</v>
      </c>
      <c r="E90" s="10">
        <f t="shared" si="32"/>
        <v>0</v>
      </c>
      <c r="F90" s="10">
        <f t="shared" si="32"/>
        <v>0</v>
      </c>
      <c r="G90" s="10">
        <f t="shared" si="32"/>
        <v>0</v>
      </c>
      <c r="H90" s="10">
        <f t="shared" si="32"/>
        <v>0</v>
      </c>
    </row>
    <row r="91" spans="1:8">
      <c r="A91" s="10">
        <f t="shared" si="27"/>
        <v>0</v>
      </c>
      <c r="B91" s="10">
        <f t="shared" ref="B91:B98" si="34">H33*$B$72</f>
        <v>0</v>
      </c>
      <c r="C91" s="10">
        <f t="shared" si="32"/>
        <v>0</v>
      </c>
      <c r="D91" s="10">
        <f t="shared" ref="D91:D94" si="35">(C91/C$72)*D$72</f>
        <v>0</v>
      </c>
      <c r="E91" s="10">
        <f t="shared" ref="E91:E94" si="36">(D91/D$72)*E$72</f>
        <v>0</v>
      </c>
      <c r="F91" s="10">
        <f t="shared" ref="F91:F94" si="37">(E91/E$72)*F$72</f>
        <v>0</v>
      </c>
      <c r="G91" s="10">
        <f t="shared" ref="G91:G94" si="38">(F91/F$72)*G$72</f>
        <v>0</v>
      </c>
      <c r="H91" s="10">
        <f t="shared" si="32"/>
        <v>0</v>
      </c>
    </row>
    <row r="92" spans="1:8">
      <c r="A92" s="10">
        <f t="shared" si="27"/>
        <v>0</v>
      </c>
      <c r="B92" s="10">
        <f t="shared" si="34"/>
        <v>0</v>
      </c>
      <c r="C92" s="10">
        <f t="shared" si="32"/>
        <v>0</v>
      </c>
      <c r="D92" s="10">
        <f t="shared" si="35"/>
        <v>0</v>
      </c>
      <c r="E92" s="10">
        <f t="shared" si="36"/>
        <v>0</v>
      </c>
      <c r="F92" s="10">
        <f t="shared" si="37"/>
        <v>0</v>
      </c>
      <c r="G92" s="10">
        <f t="shared" si="38"/>
        <v>0</v>
      </c>
      <c r="H92" s="10"/>
    </row>
    <row r="93" spans="1:8">
      <c r="A93" s="10">
        <f t="shared" si="27"/>
        <v>0</v>
      </c>
      <c r="B93" s="10">
        <f t="shared" si="34"/>
        <v>0</v>
      </c>
      <c r="C93" s="10">
        <f t="shared" si="32"/>
        <v>0</v>
      </c>
      <c r="D93" s="10">
        <f t="shared" si="35"/>
        <v>0</v>
      </c>
      <c r="E93" s="10">
        <f t="shared" si="36"/>
        <v>0</v>
      </c>
      <c r="F93" s="10">
        <f t="shared" si="37"/>
        <v>0</v>
      </c>
      <c r="G93" s="10">
        <f t="shared" si="38"/>
        <v>0</v>
      </c>
      <c r="H93" s="10"/>
    </row>
    <row r="94" spans="1:8">
      <c r="A94" s="10">
        <f t="shared" si="27"/>
        <v>0</v>
      </c>
      <c r="B94" s="10">
        <f t="shared" si="34"/>
        <v>0</v>
      </c>
      <c r="C94" s="10">
        <f t="shared" si="32"/>
        <v>0</v>
      </c>
      <c r="D94" s="10">
        <f t="shared" si="35"/>
        <v>0</v>
      </c>
      <c r="E94" s="10">
        <f t="shared" si="36"/>
        <v>0</v>
      </c>
      <c r="F94" s="10">
        <f t="shared" si="37"/>
        <v>0</v>
      </c>
      <c r="G94" s="10">
        <f t="shared" si="38"/>
        <v>0</v>
      </c>
      <c r="H94" s="10"/>
    </row>
    <row r="95" spans="1:8">
      <c r="A95" s="10" t="str">
        <f t="shared" si="27"/>
        <v>Pomegranate</v>
      </c>
      <c r="B95" s="10">
        <f t="shared" si="34"/>
        <v>0</v>
      </c>
      <c r="C95" s="10">
        <f t="shared" si="32"/>
        <v>0</v>
      </c>
      <c r="D95" s="10">
        <f t="shared" si="32"/>
        <v>0</v>
      </c>
      <c r="E95" s="10">
        <f t="shared" si="32"/>
        <v>0</v>
      </c>
      <c r="F95" s="10">
        <f t="shared" si="32"/>
        <v>0</v>
      </c>
      <c r="G95" s="10">
        <f t="shared" si="32"/>
        <v>0</v>
      </c>
      <c r="H95" s="10">
        <f t="shared" si="32"/>
        <v>0</v>
      </c>
    </row>
    <row r="96" spans="1:8">
      <c r="A96" s="10" t="str">
        <f t="shared" si="27"/>
        <v>Custard Apple</v>
      </c>
      <c r="B96" s="10">
        <f t="shared" si="34"/>
        <v>0</v>
      </c>
      <c r="C96" s="10">
        <f t="shared" ref="C96:H98" si="39">(B96/B$72)*C$72</f>
        <v>0</v>
      </c>
      <c r="D96" s="10">
        <f t="shared" si="39"/>
        <v>0</v>
      </c>
      <c r="E96" s="10">
        <f t="shared" si="39"/>
        <v>0</v>
      </c>
      <c r="F96" s="10">
        <f t="shared" si="39"/>
        <v>0</v>
      </c>
      <c r="G96" s="10">
        <f t="shared" si="39"/>
        <v>0</v>
      </c>
      <c r="H96" s="10">
        <f t="shared" si="39"/>
        <v>0</v>
      </c>
    </row>
    <row r="97" spans="1:9">
      <c r="A97" s="10" t="str">
        <f t="shared" si="27"/>
        <v>Guava</v>
      </c>
      <c r="B97" s="10">
        <f t="shared" si="34"/>
        <v>0</v>
      </c>
      <c r="C97" s="10">
        <f t="shared" si="39"/>
        <v>0</v>
      </c>
      <c r="D97" s="10">
        <f t="shared" si="39"/>
        <v>0</v>
      </c>
      <c r="E97" s="10">
        <f t="shared" si="39"/>
        <v>0</v>
      </c>
      <c r="F97" s="10">
        <f t="shared" si="39"/>
        <v>0</v>
      </c>
      <c r="G97" s="10">
        <f t="shared" si="39"/>
        <v>0</v>
      </c>
      <c r="H97" s="10">
        <f t="shared" si="39"/>
        <v>0</v>
      </c>
    </row>
    <row r="98" spans="1:9">
      <c r="A98" s="10" t="str">
        <f t="shared" si="27"/>
        <v>Citrus</v>
      </c>
      <c r="B98" s="10">
        <f t="shared" si="34"/>
        <v>0</v>
      </c>
      <c r="C98" s="10">
        <f t="shared" si="39"/>
        <v>0</v>
      </c>
      <c r="D98" s="10">
        <f t="shared" ref="D98" si="40">(C98/C$72)*D$72</f>
        <v>0</v>
      </c>
      <c r="E98" s="10">
        <f t="shared" ref="E98" si="41">(D98/D$72)*E$72</f>
        <v>0</v>
      </c>
      <c r="F98" s="10">
        <f t="shared" ref="F98" si="42">(E98/E$72)*F$72</f>
        <v>0</v>
      </c>
      <c r="G98" s="10">
        <f t="shared" ref="G98" si="43">(F98/F$72)*G$72</f>
        <v>0</v>
      </c>
      <c r="H98" s="10">
        <f t="shared" ref="H98" si="44">(G98/G$72)*H$72</f>
        <v>0</v>
      </c>
      <c r="I98" s="299"/>
    </row>
    <row r="99" spans="1:9" ht="18.75">
      <c r="A99" s="474" t="s">
        <v>592</v>
      </c>
      <c r="B99" s="475"/>
      <c r="C99" s="475"/>
      <c r="D99" s="475"/>
      <c r="E99" s="475"/>
      <c r="F99" s="475"/>
      <c r="G99" s="475"/>
      <c r="H99" s="476"/>
    </row>
    <row r="100" spans="1:9">
      <c r="A100" s="463" t="s">
        <v>0</v>
      </c>
      <c r="B100" s="345">
        <v>0.65</v>
      </c>
      <c r="C100" s="346">
        <f>B100+0.05</f>
        <v>0.70000000000000007</v>
      </c>
      <c r="D100" s="346">
        <f t="shared" ref="D100:G100" si="45">C100+0.05</f>
        <v>0.75000000000000011</v>
      </c>
      <c r="E100" s="346">
        <f t="shared" si="45"/>
        <v>0.80000000000000016</v>
      </c>
      <c r="F100" s="346">
        <f t="shared" si="45"/>
        <v>0.8500000000000002</v>
      </c>
      <c r="G100" s="346">
        <f t="shared" si="45"/>
        <v>0.90000000000000024</v>
      </c>
      <c r="H100" s="346">
        <f>G100+0.05</f>
        <v>0.95000000000000029</v>
      </c>
    </row>
    <row r="101" spans="1:9">
      <c r="A101" s="464"/>
      <c r="B101" s="311" t="s">
        <v>2</v>
      </c>
      <c r="C101" s="311" t="s">
        <v>3</v>
      </c>
      <c r="D101" s="311" t="s">
        <v>4</v>
      </c>
      <c r="E101" s="311" t="s">
        <v>5</v>
      </c>
      <c r="F101" s="311" t="s">
        <v>6</v>
      </c>
      <c r="G101" s="311" t="s">
        <v>171</v>
      </c>
      <c r="H101" s="311" t="s">
        <v>170</v>
      </c>
    </row>
    <row r="102" spans="1:9" s="13" customFormat="1">
      <c r="A102" s="10" t="str">
        <f t="shared" ref="A102:A126" si="46">A74</f>
        <v>Onion</v>
      </c>
      <c r="B102" s="10">
        <f t="shared" ref="B102:B110" si="47">D14*$B$100</f>
        <v>0</v>
      </c>
      <c r="C102" s="308">
        <f t="shared" ref="C102:H117" si="48">(B102/B$100)*C$100</f>
        <v>0</v>
      </c>
      <c r="D102" s="308">
        <f t="shared" si="48"/>
        <v>0</v>
      </c>
      <c r="E102" s="308">
        <f t="shared" si="48"/>
        <v>0</v>
      </c>
      <c r="F102" s="308">
        <f t="shared" si="48"/>
        <v>0</v>
      </c>
      <c r="G102" s="308">
        <f t="shared" si="48"/>
        <v>0</v>
      </c>
      <c r="H102" s="308">
        <f t="shared" si="48"/>
        <v>0</v>
      </c>
    </row>
    <row r="103" spans="1:9">
      <c r="A103" s="10" t="str">
        <f t="shared" si="46"/>
        <v>Tomato</v>
      </c>
      <c r="B103" s="10">
        <f t="shared" si="47"/>
        <v>0</v>
      </c>
      <c r="C103" s="308">
        <f t="shared" si="48"/>
        <v>0</v>
      </c>
      <c r="D103" s="308">
        <f>(C103/C100)*D100</f>
        <v>0</v>
      </c>
      <c r="E103" s="308">
        <f t="shared" ref="E103:G103" si="49">(D103/D100)*E100</f>
        <v>0</v>
      </c>
      <c r="F103" s="308">
        <f t="shared" si="49"/>
        <v>0</v>
      </c>
      <c r="G103" s="308">
        <f t="shared" si="49"/>
        <v>0</v>
      </c>
      <c r="H103" s="308">
        <f>(G103/G100)*H100</f>
        <v>0</v>
      </c>
    </row>
    <row r="104" spans="1:9">
      <c r="A104" s="10" t="str">
        <f t="shared" si="46"/>
        <v>Okra</v>
      </c>
      <c r="B104" s="10">
        <f t="shared" si="47"/>
        <v>0</v>
      </c>
      <c r="C104" s="308">
        <f t="shared" si="48"/>
        <v>0</v>
      </c>
      <c r="D104" s="308">
        <f t="shared" si="48"/>
        <v>0</v>
      </c>
      <c r="E104" s="308">
        <f t="shared" si="48"/>
        <v>0</v>
      </c>
      <c r="F104" s="308">
        <f t="shared" si="48"/>
        <v>0</v>
      </c>
      <c r="G104" s="308">
        <f t="shared" si="48"/>
        <v>0</v>
      </c>
      <c r="H104" s="308">
        <f t="shared" si="48"/>
        <v>0</v>
      </c>
    </row>
    <row r="105" spans="1:9">
      <c r="A105" s="10" t="str">
        <f t="shared" si="46"/>
        <v>Chilli</v>
      </c>
      <c r="B105" s="10">
        <f t="shared" si="47"/>
        <v>0</v>
      </c>
      <c r="C105" s="308">
        <f t="shared" si="48"/>
        <v>0</v>
      </c>
      <c r="D105" s="308">
        <f t="shared" si="48"/>
        <v>0</v>
      </c>
      <c r="E105" s="308">
        <f t="shared" si="48"/>
        <v>0</v>
      </c>
      <c r="F105" s="308">
        <f t="shared" si="48"/>
        <v>0</v>
      </c>
      <c r="G105" s="308">
        <f t="shared" si="48"/>
        <v>0</v>
      </c>
      <c r="H105" s="308">
        <f t="shared" si="48"/>
        <v>0</v>
      </c>
    </row>
    <row r="106" spans="1:9">
      <c r="A106" s="10" t="str">
        <f t="shared" si="46"/>
        <v>Potato</v>
      </c>
      <c r="B106" s="383">
        <f t="shared" si="47"/>
        <v>0</v>
      </c>
      <c r="C106" s="308">
        <f t="shared" si="48"/>
        <v>0</v>
      </c>
      <c r="D106" s="308">
        <f t="shared" si="48"/>
        <v>0</v>
      </c>
      <c r="E106" s="308">
        <f t="shared" si="48"/>
        <v>0</v>
      </c>
      <c r="F106" s="308">
        <f t="shared" si="48"/>
        <v>0</v>
      </c>
      <c r="G106" s="308">
        <f t="shared" si="48"/>
        <v>0</v>
      </c>
      <c r="H106" s="308">
        <f t="shared" si="48"/>
        <v>0</v>
      </c>
    </row>
    <row r="107" spans="1:9">
      <c r="A107" s="10">
        <f t="shared" si="46"/>
        <v>0</v>
      </c>
      <c r="B107" s="10">
        <f t="shared" si="47"/>
        <v>0</v>
      </c>
      <c r="C107" s="308">
        <f t="shared" si="48"/>
        <v>0</v>
      </c>
      <c r="D107" s="308">
        <f t="shared" si="48"/>
        <v>0</v>
      </c>
      <c r="E107" s="308">
        <f t="shared" si="48"/>
        <v>0</v>
      </c>
      <c r="F107" s="308">
        <f t="shared" si="48"/>
        <v>0</v>
      </c>
      <c r="G107" s="308">
        <f t="shared" si="48"/>
        <v>0</v>
      </c>
      <c r="H107" s="308">
        <f t="shared" si="48"/>
        <v>0</v>
      </c>
    </row>
    <row r="108" spans="1:9">
      <c r="A108" s="10">
        <f t="shared" si="46"/>
        <v>0</v>
      </c>
      <c r="B108" s="10">
        <f t="shared" si="47"/>
        <v>0</v>
      </c>
      <c r="C108" s="308">
        <f t="shared" si="48"/>
        <v>0</v>
      </c>
      <c r="D108" s="308">
        <f t="shared" si="48"/>
        <v>0</v>
      </c>
      <c r="E108" s="308">
        <f t="shared" si="48"/>
        <v>0</v>
      </c>
      <c r="F108" s="308">
        <f t="shared" si="48"/>
        <v>0</v>
      </c>
      <c r="G108" s="308">
        <f t="shared" si="48"/>
        <v>0</v>
      </c>
      <c r="H108" s="308">
        <f t="shared" si="48"/>
        <v>0</v>
      </c>
    </row>
    <row r="109" spans="1:9">
      <c r="A109" s="10">
        <f t="shared" si="46"/>
        <v>0</v>
      </c>
      <c r="B109" s="10">
        <f t="shared" si="47"/>
        <v>0</v>
      </c>
      <c r="C109" s="308">
        <f t="shared" si="48"/>
        <v>0</v>
      </c>
      <c r="D109" s="308">
        <f t="shared" si="48"/>
        <v>0</v>
      </c>
      <c r="E109" s="308">
        <f t="shared" si="48"/>
        <v>0</v>
      </c>
      <c r="F109" s="308">
        <f t="shared" si="48"/>
        <v>0</v>
      </c>
      <c r="G109" s="308">
        <f t="shared" si="48"/>
        <v>0</v>
      </c>
      <c r="H109" s="308">
        <f t="shared" si="48"/>
        <v>0</v>
      </c>
    </row>
    <row r="110" spans="1:9">
      <c r="A110" s="10">
        <f t="shared" si="46"/>
        <v>0</v>
      </c>
      <c r="B110" s="10">
        <f t="shared" si="47"/>
        <v>0</v>
      </c>
      <c r="C110" s="308">
        <f t="shared" si="48"/>
        <v>0</v>
      </c>
      <c r="D110" s="308">
        <f t="shared" si="48"/>
        <v>0</v>
      </c>
      <c r="E110" s="308">
        <f t="shared" si="48"/>
        <v>0</v>
      </c>
      <c r="F110" s="308">
        <f t="shared" si="48"/>
        <v>0</v>
      </c>
      <c r="G110" s="308">
        <f t="shared" si="48"/>
        <v>0</v>
      </c>
      <c r="H110" s="308">
        <f t="shared" si="48"/>
        <v>0</v>
      </c>
    </row>
    <row r="111" spans="1:9">
      <c r="A111" s="10" t="str">
        <f t="shared" si="46"/>
        <v>Onion</v>
      </c>
      <c r="B111" s="10">
        <f t="shared" ref="B111:B118" si="50">D24*$B$100</f>
        <v>0</v>
      </c>
      <c r="C111" s="308">
        <f t="shared" si="48"/>
        <v>0</v>
      </c>
      <c r="D111" s="308">
        <f t="shared" si="48"/>
        <v>0</v>
      </c>
      <c r="E111" s="308">
        <f t="shared" si="48"/>
        <v>0</v>
      </c>
      <c r="F111" s="308">
        <f t="shared" si="48"/>
        <v>0</v>
      </c>
      <c r="G111" s="308">
        <f t="shared" si="48"/>
        <v>0</v>
      </c>
      <c r="H111" s="308">
        <f t="shared" si="48"/>
        <v>0</v>
      </c>
    </row>
    <row r="112" spans="1:9">
      <c r="A112" s="10" t="str">
        <f t="shared" si="46"/>
        <v>Tomato</v>
      </c>
      <c r="B112" s="10">
        <f t="shared" si="50"/>
        <v>0</v>
      </c>
      <c r="C112" s="308">
        <f t="shared" si="48"/>
        <v>0</v>
      </c>
      <c r="D112" s="308">
        <f t="shared" si="48"/>
        <v>0</v>
      </c>
      <c r="E112" s="308">
        <f t="shared" si="48"/>
        <v>0</v>
      </c>
      <c r="F112" s="308">
        <f t="shared" si="48"/>
        <v>0</v>
      </c>
      <c r="G112" s="308">
        <f t="shared" si="48"/>
        <v>0</v>
      </c>
      <c r="H112" s="308">
        <f t="shared" si="48"/>
        <v>0</v>
      </c>
    </row>
    <row r="113" spans="1:9">
      <c r="A113" s="10" t="str">
        <f t="shared" si="46"/>
        <v>Okra</v>
      </c>
      <c r="B113" s="10">
        <f t="shared" si="50"/>
        <v>0</v>
      </c>
      <c r="C113" s="308">
        <f t="shared" si="48"/>
        <v>0</v>
      </c>
      <c r="D113" s="308">
        <f t="shared" si="48"/>
        <v>0</v>
      </c>
      <c r="E113" s="308">
        <f t="shared" si="48"/>
        <v>0</v>
      </c>
      <c r="F113" s="308">
        <f t="shared" si="48"/>
        <v>0</v>
      </c>
      <c r="G113" s="308">
        <f t="shared" si="48"/>
        <v>0</v>
      </c>
      <c r="H113" s="308">
        <f t="shared" si="48"/>
        <v>0</v>
      </c>
    </row>
    <row r="114" spans="1:9">
      <c r="A114" s="10" t="str">
        <f t="shared" si="46"/>
        <v>Chilli</v>
      </c>
      <c r="B114" s="10">
        <f t="shared" si="50"/>
        <v>0</v>
      </c>
      <c r="C114" s="308">
        <f t="shared" si="48"/>
        <v>0</v>
      </c>
      <c r="D114" s="308">
        <f t="shared" si="48"/>
        <v>0</v>
      </c>
      <c r="E114" s="308">
        <f t="shared" si="48"/>
        <v>0</v>
      </c>
      <c r="F114" s="308">
        <f t="shared" si="48"/>
        <v>0</v>
      </c>
      <c r="G114" s="308">
        <f t="shared" si="48"/>
        <v>0</v>
      </c>
      <c r="H114" s="308">
        <f t="shared" si="48"/>
        <v>0</v>
      </c>
    </row>
    <row r="115" spans="1:9">
      <c r="A115" s="10" t="str">
        <f t="shared" si="46"/>
        <v>Brinjal</v>
      </c>
      <c r="B115" s="10">
        <f t="shared" si="50"/>
        <v>0</v>
      </c>
      <c r="C115" s="308">
        <f t="shared" si="48"/>
        <v>0</v>
      </c>
      <c r="D115" s="308">
        <f t="shared" si="48"/>
        <v>0</v>
      </c>
      <c r="E115" s="308">
        <f t="shared" si="48"/>
        <v>0</v>
      </c>
      <c r="F115" s="308">
        <f t="shared" si="48"/>
        <v>0</v>
      </c>
      <c r="G115" s="308">
        <f t="shared" si="48"/>
        <v>0</v>
      </c>
      <c r="H115" s="308">
        <f t="shared" si="48"/>
        <v>0</v>
      </c>
    </row>
    <row r="116" spans="1:9">
      <c r="A116" s="10">
        <f t="shared" si="46"/>
        <v>0</v>
      </c>
      <c r="B116" s="10">
        <f t="shared" si="50"/>
        <v>0</v>
      </c>
      <c r="C116" s="308">
        <f t="shared" si="48"/>
        <v>0</v>
      </c>
      <c r="D116" s="308">
        <f t="shared" si="48"/>
        <v>0</v>
      </c>
      <c r="E116" s="308">
        <f t="shared" si="48"/>
        <v>0</v>
      </c>
      <c r="F116" s="308">
        <f t="shared" si="48"/>
        <v>0</v>
      </c>
      <c r="G116" s="308">
        <f t="shared" si="48"/>
        <v>0</v>
      </c>
      <c r="H116" s="308">
        <f t="shared" si="48"/>
        <v>0</v>
      </c>
    </row>
    <row r="117" spans="1:9">
      <c r="A117" s="10">
        <f t="shared" si="46"/>
        <v>0</v>
      </c>
      <c r="B117" s="10">
        <f t="shared" si="50"/>
        <v>0</v>
      </c>
      <c r="C117" s="308">
        <f t="shared" si="48"/>
        <v>0</v>
      </c>
      <c r="D117" s="308">
        <f t="shared" si="48"/>
        <v>0</v>
      </c>
      <c r="E117" s="308">
        <f t="shared" si="48"/>
        <v>0</v>
      </c>
      <c r="F117" s="308">
        <f t="shared" si="48"/>
        <v>0</v>
      </c>
      <c r="G117" s="308">
        <f t="shared" si="48"/>
        <v>0</v>
      </c>
      <c r="H117" s="308">
        <f t="shared" si="48"/>
        <v>0</v>
      </c>
    </row>
    <row r="118" spans="1:9">
      <c r="A118" s="10">
        <f t="shared" si="46"/>
        <v>0</v>
      </c>
      <c r="B118" s="10">
        <f t="shared" si="50"/>
        <v>0</v>
      </c>
      <c r="C118" s="308">
        <f t="shared" ref="C118:H126" si="51">(B118/B$100)*C$100</f>
        <v>0</v>
      </c>
      <c r="D118" s="308">
        <f t="shared" si="51"/>
        <v>0</v>
      </c>
      <c r="E118" s="308">
        <f t="shared" si="51"/>
        <v>0</v>
      </c>
      <c r="F118" s="308">
        <f t="shared" si="51"/>
        <v>0</v>
      </c>
      <c r="G118" s="308">
        <f t="shared" si="51"/>
        <v>0</v>
      </c>
      <c r="H118" s="308">
        <f t="shared" si="51"/>
        <v>0</v>
      </c>
    </row>
    <row r="119" spans="1:9">
      <c r="A119" s="10">
        <f t="shared" si="46"/>
        <v>0</v>
      </c>
      <c r="B119" s="10">
        <f t="shared" ref="B119:B126" si="52">D33*$B$100</f>
        <v>0</v>
      </c>
      <c r="C119" s="308">
        <f t="shared" si="51"/>
        <v>0</v>
      </c>
      <c r="D119" s="308">
        <f t="shared" si="51"/>
        <v>0</v>
      </c>
      <c r="E119" s="308">
        <f t="shared" si="51"/>
        <v>0</v>
      </c>
      <c r="F119" s="308">
        <f t="shared" si="51"/>
        <v>0</v>
      </c>
      <c r="G119" s="308">
        <f t="shared" si="51"/>
        <v>0</v>
      </c>
      <c r="H119" s="308">
        <f t="shared" si="51"/>
        <v>0</v>
      </c>
    </row>
    <row r="120" spans="1:9">
      <c r="A120" s="10">
        <f t="shared" si="46"/>
        <v>0</v>
      </c>
      <c r="B120" s="10">
        <f t="shared" si="52"/>
        <v>0</v>
      </c>
      <c r="C120" s="308">
        <f t="shared" si="51"/>
        <v>0</v>
      </c>
      <c r="D120" s="308">
        <f t="shared" ref="D120:D122" si="53">(C120/C$100)*D$100</f>
        <v>0</v>
      </c>
      <c r="E120" s="308">
        <f t="shared" ref="E120:E122" si="54">(D120/D$100)*E$100</f>
        <v>0</v>
      </c>
      <c r="F120" s="308">
        <f t="shared" ref="F120:F122" si="55">(E120/E$100)*F$100</f>
        <v>0</v>
      </c>
      <c r="G120" s="308">
        <f t="shared" ref="G120:G122" si="56">(F120/F$100)*G$100</f>
        <v>0</v>
      </c>
      <c r="H120" s="308">
        <f t="shared" si="51"/>
        <v>0</v>
      </c>
    </row>
    <row r="121" spans="1:9">
      <c r="A121" s="10">
        <f t="shared" si="46"/>
        <v>0</v>
      </c>
      <c r="B121" s="10">
        <f t="shared" si="52"/>
        <v>0</v>
      </c>
      <c r="C121" s="308">
        <f t="shared" si="51"/>
        <v>0</v>
      </c>
      <c r="D121" s="308">
        <f t="shared" si="53"/>
        <v>0</v>
      </c>
      <c r="E121" s="308">
        <f t="shared" si="54"/>
        <v>0</v>
      </c>
      <c r="F121" s="308">
        <f t="shared" si="55"/>
        <v>0</v>
      </c>
      <c r="G121" s="308">
        <f t="shared" si="56"/>
        <v>0</v>
      </c>
      <c r="H121" s="308">
        <f t="shared" si="51"/>
        <v>0</v>
      </c>
    </row>
    <row r="122" spans="1:9">
      <c r="A122" s="10">
        <f t="shared" si="46"/>
        <v>0</v>
      </c>
      <c r="B122" s="10">
        <f t="shared" si="52"/>
        <v>0</v>
      </c>
      <c r="C122" s="308">
        <f t="shared" si="51"/>
        <v>0</v>
      </c>
      <c r="D122" s="308">
        <f t="shared" si="53"/>
        <v>0</v>
      </c>
      <c r="E122" s="308">
        <f t="shared" si="54"/>
        <v>0</v>
      </c>
      <c r="F122" s="308">
        <f t="shared" si="55"/>
        <v>0</v>
      </c>
      <c r="G122" s="308">
        <f t="shared" si="56"/>
        <v>0</v>
      </c>
      <c r="H122" s="308">
        <f t="shared" si="51"/>
        <v>0</v>
      </c>
    </row>
    <row r="123" spans="1:9">
      <c r="A123" s="10" t="str">
        <f t="shared" si="46"/>
        <v>Pomegranate</v>
      </c>
      <c r="B123" s="10">
        <f t="shared" si="52"/>
        <v>0</v>
      </c>
      <c r="C123" s="308">
        <f t="shared" si="51"/>
        <v>0</v>
      </c>
      <c r="D123" s="308">
        <f t="shared" si="51"/>
        <v>0</v>
      </c>
      <c r="E123" s="308">
        <f t="shared" si="51"/>
        <v>0</v>
      </c>
      <c r="F123" s="308">
        <f t="shared" si="51"/>
        <v>0</v>
      </c>
      <c r="G123" s="308">
        <f t="shared" si="51"/>
        <v>0</v>
      </c>
      <c r="H123" s="308">
        <f t="shared" si="51"/>
        <v>0</v>
      </c>
    </row>
    <row r="124" spans="1:9">
      <c r="A124" s="10" t="str">
        <f t="shared" si="46"/>
        <v>Custard Apple</v>
      </c>
      <c r="B124" s="10">
        <f t="shared" si="52"/>
        <v>0</v>
      </c>
      <c r="C124" s="308">
        <f t="shared" si="51"/>
        <v>0</v>
      </c>
      <c r="D124" s="308">
        <f t="shared" ref="D124" si="57">(C124/C$100)*D$100</f>
        <v>0</v>
      </c>
      <c r="E124" s="308">
        <f t="shared" ref="E124" si="58">(D124/D$100)*E$100</f>
        <v>0</v>
      </c>
      <c r="F124" s="308">
        <f t="shared" ref="F124" si="59">(E124/E$100)*F$100</f>
        <v>0</v>
      </c>
      <c r="G124" s="308">
        <f t="shared" ref="G124" si="60">(F124/F$100)*G$100</f>
        <v>0</v>
      </c>
      <c r="H124" s="308">
        <f t="shared" si="51"/>
        <v>0</v>
      </c>
    </row>
    <row r="125" spans="1:9">
      <c r="A125" s="10" t="str">
        <f t="shared" si="46"/>
        <v>Guava</v>
      </c>
      <c r="B125" s="10">
        <f t="shared" si="52"/>
        <v>0</v>
      </c>
      <c r="C125" s="308">
        <f t="shared" si="51"/>
        <v>0</v>
      </c>
      <c r="D125" s="308">
        <f t="shared" si="51"/>
        <v>0</v>
      </c>
      <c r="E125" s="308">
        <f t="shared" si="51"/>
        <v>0</v>
      </c>
      <c r="F125" s="308">
        <f t="shared" si="51"/>
        <v>0</v>
      </c>
      <c r="G125" s="308">
        <f t="shared" si="51"/>
        <v>0</v>
      </c>
      <c r="H125" s="308">
        <f t="shared" si="51"/>
        <v>0</v>
      </c>
    </row>
    <row r="126" spans="1:9">
      <c r="A126" s="10" t="str">
        <f t="shared" si="46"/>
        <v>Citrus</v>
      </c>
      <c r="B126" s="10">
        <f t="shared" si="52"/>
        <v>0</v>
      </c>
      <c r="C126" s="308">
        <f t="shared" si="51"/>
        <v>0</v>
      </c>
      <c r="D126" s="308">
        <f t="shared" si="51"/>
        <v>0</v>
      </c>
      <c r="E126" s="308">
        <f t="shared" si="51"/>
        <v>0</v>
      </c>
      <c r="F126" s="308">
        <f t="shared" si="51"/>
        <v>0</v>
      </c>
      <c r="G126" s="308">
        <f t="shared" si="51"/>
        <v>0</v>
      </c>
      <c r="H126" s="308">
        <f t="shared" si="51"/>
        <v>0</v>
      </c>
    </row>
    <row r="128" spans="1:9">
      <c r="C128" s="4"/>
      <c r="D128" s="6"/>
      <c r="E128" s="6"/>
      <c r="F128" s="6"/>
      <c r="G128" s="6"/>
      <c r="H128" s="6"/>
      <c r="I128" s="6"/>
    </row>
    <row r="129" spans="1:9">
      <c r="A129" t="s">
        <v>555</v>
      </c>
      <c r="C129" s="318"/>
      <c r="D129" s="318"/>
      <c r="E129" s="318"/>
      <c r="F129" s="318"/>
      <c r="G129" s="318"/>
      <c r="H129" s="318"/>
      <c r="I129" s="318"/>
    </row>
    <row r="130" spans="1:9">
      <c r="A130">
        <v>1</v>
      </c>
      <c r="B130" t="s">
        <v>556</v>
      </c>
    </row>
    <row r="131" spans="1:9">
      <c r="A131">
        <v>2</v>
      </c>
      <c r="B131" t="s">
        <v>557</v>
      </c>
    </row>
    <row r="132" spans="1:9">
      <c r="A132">
        <v>3</v>
      </c>
      <c r="B132" t="s">
        <v>558</v>
      </c>
    </row>
  </sheetData>
  <mergeCells count="13">
    <mergeCell ref="A1:H1"/>
    <mergeCell ref="A43:H43"/>
    <mergeCell ref="A44:A45"/>
    <mergeCell ref="A71:H71"/>
    <mergeCell ref="A72:A73"/>
    <mergeCell ref="A99:H99"/>
    <mergeCell ref="A100:A101"/>
    <mergeCell ref="A3:B3"/>
    <mergeCell ref="A11:H11"/>
    <mergeCell ref="A14:A22"/>
    <mergeCell ref="A24:A31"/>
    <mergeCell ref="A37:A40"/>
    <mergeCell ref="A41:H41"/>
  </mergeCells>
  <pageMargins left="0.7" right="0.7" top="0.75" bottom="0.75" header="0.3" footer="0.3"/>
  <pageSetup scale="6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T313"/>
  <sheetViews>
    <sheetView view="pageBreakPreview" topLeftCell="A199" zoomScale="40" zoomScaleSheetLayoutView="40" workbookViewId="0">
      <selection activeCell="G240" sqref="G240"/>
    </sheetView>
  </sheetViews>
  <sheetFormatPr defaultRowHeight="15"/>
  <cols>
    <col min="1" max="1" width="42.42578125" bestFit="1" customWidth="1"/>
    <col min="2" max="2" width="23.42578125" customWidth="1"/>
    <col min="3" max="3" width="11.85546875" customWidth="1"/>
    <col min="4" max="5" width="15.85546875" bestFit="1" customWidth="1"/>
    <col min="6" max="6" width="18.140625" bestFit="1" customWidth="1"/>
    <col min="7" max="10" width="15.85546875" bestFit="1" customWidth="1"/>
    <col min="11" max="11" width="10.5703125" bestFit="1" customWidth="1"/>
    <col min="13" max="13" width="22.85546875" bestFit="1" customWidth="1"/>
    <col min="14" max="14" width="12.85546875" bestFit="1" customWidth="1"/>
  </cols>
  <sheetData>
    <row r="2" spans="1:8" ht="18.75">
      <c r="A2" s="417" t="s">
        <v>593</v>
      </c>
      <c r="B2" s="417"/>
      <c r="C2" s="417"/>
      <c r="D2" s="417"/>
      <c r="E2" s="417"/>
      <c r="F2" s="417"/>
      <c r="G2" s="417"/>
      <c r="H2" s="417"/>
    </row>
    <row r="3" spans="1:8" ht="18.75">
      <c r="A3" s="417" t="s">
        <v>594</v>
      </c>
      <c r="B3" s="417"/>
      <c r="C3" s="417"/>
      <c r="D3" s="417"/>
      <c r="E3" s="417"/>
      <c r="F3" s="417"/>
      <c r="G3" s="417"/>
      <c r="H3" s="417"/>
    </row>
    <row r="4" spans="1:8">
      <c r="B4" s="94"/>
      <c r="C4" s="94"/>
      <c r="D4" s="94"/>
      <c r="E4" s="94"/>
      <c r="F4" s="418" t="s">
        <v>483</v>
      </c>
      <c r="G4" s="418"/>
      <c r="H4" s="418"/>
    </row>
    <row r="5" spans="1:8">
      <c r="A5" s="94" t="s">
        <v>163</v>
      </c>
      <c r="B5" s="250">
        <f>(3*1000)/100</f>
        <v>30</v>
      </c>
      <c r="C5" s="94" t="s">
        <v>459</v>
      </c>
      <c r="D5" s="94"/>
      <c r="E5" s="94"/>
      <c r="F5" s="293" t="s">
        <v>484</v>
      </c>
      <c r="G5" s="293" t="s">
        <v>485</v>
      </c>
      <c r="H5" s="94"/>
    </row>
    <row r="6" spans="1:8">
      <c r="A6" s="94" t="s">
        <v>164</v>
      </c>
      <c r="B6" s="283">
        <v>8</v>
      </c>
      <c r="C6" s="94"/>
      <c r="D6" s="94"/>
      <c r="E6" s="94"/>
      <c r="F6" s="10" t="s">
        <v>481</v>
      </c>
      <c r="G6" s="326">
        <v>0.03</v>
      </c>
      <c r="H6" s="94"/>
    </row>
    <row r="7" spans="1:8">
      <c r="A7" s="94"/>
      <c r="B7" s="94"/>
      <c r="C7" s="94"/>
      <c r="D7" s="94"/>
      <c r="E7" s="94"/>
      <c r="F7" s="10" t="s">
        <v>482</v>
      </c>
      <c r="G7" s="326">
        <v>0.05</v>
      </c>
      <c r="H7" s="94"/>
    </row>
    <row r="8" spans="1:8">
      <c r="A8" s="94" t="s">
        <v>528</v>
      </c>
      <c r="B8" s="94">
        <v>300</v>
      </c>
      <c r="C8" s="94"/>
      <c r="D8" s="94"/>
      <c r="E8" s="94"/>
      <c r="F8" s="10"/>
      <c r="G8" s="326"/>
      <c r="H8" s="94"/>
    </row>
    <row r="9" spans="1:8">
      <c r="A9" s="148" t="s">
        <v>0</v>
      </c>
      <c r="B9" s="120" t="s">
        <v>2</v>
      </c>
      <c r="C9" s="120" t="s">
        <v>3</v>
      </c>
      <c r="D9" s="120" t="s">
        <v>4</v>
      </c>
      <c r="E9" s="120" t="s">
        <v>5</v>
      </c>
      <c r="F9" s="120" t="s">
        <v>6</v>
      </c>
      <c r="G9" s="120" t="s">
        <v>171</v>
      </c>
      <c r="H9" s="120" t="s">
        <v>170</v>
      </c>
    </row>
    <row r="10" spans="1:8">
      <c r="A10" s="95" t="s">
        <v>458</v>
      </c>
      <c r="B10" s="302">
        <f>B33/($B$5*$B$6)</f>
        <v>58.308260150000002</v>
      </c>
      <c r="C10" s="302">
        <f t="shared" ref="C10:H10" si="0">C33/($B$5*$B$6)</f>
        <v>72.885325187500001</v>
      </c>
      <c r="D10" s="302">
        <f t="shared" si="0"/>
        <v>87.462390225000007</v>
      </c>
      <c r="E10" s="302">
        <f t="shared" si="0"/>
        <v>102.0394552625</v>
      </c>
      <c r="F10" s="302">
        <f t="shared" si="0"/>
        <v>116.61652029999999</v>
      </c>
      <c r="G10" s="302">
        <f t="shared" si="0"/>
        <v>131.1935853375</v>
      </c>
      <c r="H10" s="302">
        <f t="shared" si="0"/>
        <v>145.77065037499997</v>
      </c>
    </row>
    <row r="11" spans="1:8">
      <c r="A11" s="201" t="str">
        <f>'10.Grain Production details'!A42</f>
        <v>Soybean</v>
      </c>
      <c r="B11" s="201">
        <f>'10.Grain Production details'!B42</f>
        <v>2513.2554</v>
      </c>
      <c r="C11" s="201">
        <f>'10.Grain Production details'!C42</f>
        <v>3141.56925</v>
      </c>
      <c r="D11" s="201">
        <f>'10.Grain Production details'!D42</f>
        <v>3769.8831</v>
      </c>
      <c r="E11" s="201">
        <f>'10.Grain Production details'!E42</f>
        <v>4398.1969499999996</v>
      </c>
      <c r="F11" s="201">
        <f>'10.Grain Production details'!F42</f>
        <v>5026.5108</v>
      </c>
      <c r="G11" s="201">
        <f>'10.Grain Production details'!G42</f>
        <v>5654.8246500000005</v>
      </c>
      <c r="H11" s="201">
        <f>'10.Grain Production details'!H42</f>
        <v>6283.1385</v>
      </c>
    </row>
    <row r="12" spans="1:8">
      <c r="A12" s="201" t="str">
        <f>'10.Grain Production details'!A43</f>
        <v>Red Gram/Tur</v>
      </c>
      <c r="B12" s="201">
        <f>'10.Grain Production details'!B43</f>
        <v>0</v>
      </c>
      <c r="C12" s="201">
        <f>'10.Grain Production details'!C43</f>
        <v>0</v>
      </c>
      <c r="D12" s="201">
        <f>'10.Grain Production details'!D43</f>
        <v>0</v>
      </c>
      <c r="E12" s="201">
        <f>'10.Grain Production details'!E43</f>
        <v>0</v>
      </c>
      <c r="F12" s="201">
        <f>'10.Grain Production details'!F43</f>
        <v>0</v>
      </c>
      <c r="G12" s="201">
        <f>'10.Grain Production details'!G43</f>
        <v>0</v>
      </c>
      <c r="H12" s="201">
        <f>'10.Grain Production details'!H43</f>
        <v>0</v>
      </c>
    </row>
    <row r="13" spans="1:8">
      <c r="A13" s="201" t="str">
        <f>'10.Grain Production details'!A44</f>
        <v>Paddy/Rice</v>
      </c>
      <c r="B13" s="201">
        <f>'10.Grain Production details'!B44</f>
        <v>0</v>
      </c>
      <c r="C13" s="201">
        <f>'10.Grain Production details'!C44</f>
        <v>0</v>
      </c>
      <c r="D13" s="201">
        <f>'10.Grain Production details'!D44</f>
        <v>0</v>
      </c>
      <c r="E13" s="201">
        <f>'10.Grain Production details'!E44</f>
        <v>0</v>
      </c>
      <c r="F13" s="201">
        <f>'10.Grain Production details'!F44</f>
        <v>0</v>
      </c>
      <c r="G13" s="201">
        <f>'10.Grain Production details'!G44</f>
        <v>0</v>
      </c>
      <c r="H13" s="201">
        <f>'10.Grain Production details'!H44</f>
        <v>0</v>
      </c>
    </row>
    <row r="14" spans="1:8">
      <c r="A14" s="201" t="str">
        <f>'10.Grain Production details'!A45</f>
        <v>Green Gram/ Moong</v>
      </c>
      <c r="B14" s="201">
        <f>'10.Grain Production details'!B45</f>
        <v>907.41747600000019</v>
      </c>
      <c r="C14" s="201">
        <f>'10.Grain Production details'!C45</f>
        <v>1134.2718450000002</v>
      </c>
      <c r="D14" s="201">
        <f>'10.Grain Production details'!D45</f>
        <v>1361.1262140000001</v>
      </c>
      <c r="E14" s="201">
        <f>'10.Grain Production details'!E45</f>
        <v>1587.9805830000003</v>
      </c>
      <c r="F14" s="201">
        <f>'10.Grain Production details'!F45</f>
        <v>1814.8349520000002</v>
      </c>
      <c r="G14" s="201">
        <f>'10.Grain Production details'!G45</f>
        <v>2041.6893210000003</v>
      </c>
      <c r="H14" s="201">
        <f>'10.Grain Production details'!H45</f>
        <v>2268.54369</v>
      </c>
    </row>
    <row r="15" spans="1:8">
      <c r="A15" s="201" t="str">
        <f>'10.Grain Production details'!A46</f>
        <v>Maize</v>
      </c>
      <c r="B15" s="201">
        <f>'10.Grain Production details'!B46</f>
        <v>7054.7520000000004</v>
      </c>
      <c r="C15" s="201">
        <f>'10.Grain Production details'!C46</f>
        <v>8818.44</v>
      </c>
      <c r="D15" s="201">
        <f>'10.Grain Production details'!D46</f>
        <v>10582.128000000001</v>
      </c>
      <c r="E15" s="201">
        <f>'10.Grain Production details'!E46</f>
        <v>12345.816000000001</v>
      </c>
      <c r="F15" s="201">
        <f>'10.Grain Production details'!F46</f>
        <v>14109.503999999999</v>
      </c>
      <c r="G15" s="201">
        <f>'10.Grain Production details'!G46</f>
        <v>15873.191999999999</v>
      </c>
      <c r="H15" s="201">
        <f>'10.Grain Production details'!H46</f>
        <v>17636.879999999997</v>
      </c>
    </row>
    <row r="16" spans="1:8">
      <c r="A16" s="201" t="str">
        <f>'10.Grain Production details'!A47</f>
        <v>Black Gram/Udid</v>
      </c>
      <c r="B16" s="201">
        <f>'10.Grain Production details'!B47</f>
        <v>555.56172000000004</v>
      </c>
      <c r="C16" s="201">
        <f>'10.Grain Production details'!C47</f>
        <v>694.45214999999996</v>
      </c>
      <c r="D16" s="201">
        <f>'10.Grain Production details'!D47</f>
        <v>833.34257999999988</v>
      </c>
      <c r="E16" s="201">
        <f>'10.Grain Production details'!E47</f>
        <v>972.23300999999992</v>
      </c>
      <c r="F16" s="201">
        <f>'10.Grain Production details'!F47</f>
        <v>1111.1234399999998</v>
      </c>
      <c r="G16" s="201">
        <f>'10.Grain Production details'!G47</f>
        <v>1250.0138699999998</v>
      </c>
      <c r="H16" s="201">
        <f>'10.Grain Production details'!H47</f>
        <v>1388.9042999999997</v>
      </c>
    </row>
    <row r="17" spans="1:8">
      <c r="A17" s="201" t="str">
        <f>'10.Grain Production details'!A48</f>
        <v>Bajra</v>
      </c>
      <c r="B17" s="201">
        <f>'10.Grain Production details'!B48</f>
        <v>0</v>
      </c>
      <c r="C17" s="201">
        <f>'10.Grain Production details'!C48</f>
        <v>0</v>
      </c>
      <c r="D17" s="201">
        <f>'10.Grain Production details'!D48</f>
        <v>0</v>
      </c>
      <c r="E17" s="201">
        <f>'10.Grain Production details'!E48</f>
        <v>0</v>
      </c>
      <c r="F17" s="201">
        <f>'10.Grain Production details'!F48</f>
        <v>0</v>
      </c>
      <c r="G17" s="201">
        <f>'10.Grain Production details'!G48</f>
        <v>0</v>
      </c>
      <c r="H17" s="201">
        <f>'10.Grain Production details'!H48</f>
        <v>0</v>
      </c>
    </row>
    <row r="18" spans="1:8">
      <c r="A18" s="201" t="str">
        <f>'10.Grain Production details'!A49</f>
        <v>Jawar</v>
      </c>
      <c r="B18" s="201">
        <f>'10.Grain Production details'!B49</f>
        <v>0</v>
      </c>
      <c r="C18" s="201">
        <f>'10.Grain Production details'!C49</f>
        <v>0</v>
      </c>
      <c r="D18" s="201">
        <f>'10.Grain Production details'!D49</f>
        <v>0</v>
      </c>
      <c r="E18" s="201">
        <f>'10.Grain Production details'!E49</f>
        <v>0</v>
      </c>
      <c r="F18" s="201">
        <f>'10.Grain Production details'!F49</f>
        <v>0</v>
      </c>
      <c r="G18" s="201">
        <f>'10.Grain Production details'!G49</f>
        <v>0</v>
      </c>
      <c r="H18" s="201">
        <f>'10.Grain Production details'!H49</f>
        <v>0</v>
      </c>
    </row>
    <row r="19" spans="1:8">
      <c r="A19" s="201" t="str">
        <f>'10.Grain Production details'!A50</f>
        <v>Sunflower</v>
      </c>
      <c r="B19" s="201">
        <f>'10.Grain Production details'!B50</f>
        <v>0</v>
      </c>
      <c r="C19" s="201">
        <f>'10.Grain Production details'!C50</f>
        <v>0</v>
      </c>
      <c r="D19" s="201">
        <f>'10.Grain Production details'!D50</f>
        <v>0</v>
      </c>
      <c r="E19" s="201">
        <f>'10.Grain Production details'!E50</f>
        <v>0</v>
      </c>
      <c r="F19" s="201">
        <f>'10.Grain Production details'!F50</f>
        <v>0</v>
      </c>
      <c r="G19" s="201">
        <f>'10.Grain Production details'!G50</f>
        <v>0</v>
      </c>
      <c r="H19" s="201">
        <f>'10.Grain Production details'!H50</f>
        <v>0</v>
      </c>
    </row>
    <row r="20" spans="1:8">
      <c r="A20" s="201" t="str">
        <f>'10.Grain Production details'!A51</f>
        <v>Wheat</v>
      </c>
      <c r="B20" s="201">
        <f>'10.Grain Production details'!B51</f>
        <v>714.2936400000001</v>
      </c>
      <c r="C20" s="201">
        <f>'10.Grain Production details'!C51</f>
        <v>892.86705000000006</v>
      </c>
      <c r="D20" s="201">
        <f>'10.Grain Production details'!D51</f>
        <v>1071.44046</v>
      </c>
      <c r="E20" s="201">
        <f>'10.Grain Production details'!E51</f>
        <v>1250.01387</v>
      </c>
      <c r="F20" s="201">
        <f>'10.Grain Production details'!F51</f>
        <v>1428.58728</v>
      </c>
      <c r="G20" s="201">
        <f>'10.Grain Production details'!G51</f>
        <v>1607.1606899999999</v>
      </c>
      <c r="H20" s="201">
        <f>'10.Grain Production details'!H51</f>
        <v>1785.7340999999999</v>
      </c>
    </row>
    <row r="21" spans="1:8">
      <c r="A21" s="201" t="str">
        <f>'10.Grain Production details'!A52</f>
        <v>Bengal Gram/Channa</v>
      </c>
      <c r="B21" s="201">
        <f>'10.Grain Production details'!B52</f>
        <v>1190.4894000000002</v>
      </c>
      <c r="C21" s="201">
        <f>'10.Grain Production details'!C52</f>
        <v>1488.11175</v>
      </c>
      <c r="D21" s="201">
        <f>'10.Grain Production details'!D52</f>
        <v>1785.7340999999999</v>
      </c>
      <c r="E21" s="201">
        <f>'10.Grain Production details'!E52</f>
        <v>2083.3564499999998</v>
      </c>
      <c r="F21" s="201">
        <f>'10.Grain Production details'!F52</f>
        <v>2380.9787999999999</v>
      </c>
      <c r="G21" s="201">
        <f>'10.Grain Production details'!G52</f>
        <v>2678.60115</v>
      </c>
      <c r="H21" s="201">
        <f>'10.Grain Production details'!H52</f>
        <v>2976.2234999999996</v>
      </c>
    </row>
    <row r="22" spans="1:8">
      <c r="A22" s="201" t="str">
        <f>'10.Grain Production details'!A53</f>
        <v>Jawar</v>
      </c>
      <c r="B22" s="201">
        <f>'10.Grain Production details'!B53</f>
        <v>0</v>
      </c>
      <c r="C22" s="201">
        <f>'10.Grain Production details'!C53</f>
        <v>0</v>
      </c>
      <c r="D22" s="201">
        <f>'10.Grain Production details'!D53</f>
        <v>0</v>
      </c>
      <c r="E22" s="201">
        <f>'10.Grain Production details'!E53</f>
        <v>0</v>
      </c>
      <c r="F22" s="201">
        <f>'10.Grain Production details'!F53</f>
        <v>0</v>
      </c>
      <c r="G22" s="201">
        <f>'10.Grain Production details'!G53</f>
        <v>0</v>
      </c>
      <c r="H22" s="201">
        <f>'10.Grain Production details'!H53</f>
        <v>0</v>
      </c>
    </row>
    <row r="23" spans="1:8">
      <c r="A23" s="201" t="str">
        <f>'10.Grain Production details'!A54</f>
        <v>Maize</v>
      </c>
      <c r="B23" s="201">
        <f>'10.Grain Production details'!B54</f>
        <v>1058.2128</v>
      </c>
      <c r="C23" s="201">
        <f>'10.Grain Production details'!C54</f>
        <v>1322.7659999999998</v>
      </c>
      <c r="D23" s="201">
        <f>'10.Grain Production details'!D54</f>
        <v>1587.3191999999997</v>
      </c>
      <c r="E23" s="201">
        <f>'10.Grain Production details'!E54</f>
        <v>1851.8723999999997</v>
      </c>
      <c r="F23" s="201">
        <f>'10.Grain Production details'!F54</f>
        <v>2116.4255999999996</v>
      </c>
      <c r="G23" s="201">
        <f>'10.Grain Production details'!G54</f>
        <v>2380.9787999999994</v>
      </c>
      <c r="H23" s="201">
        <f>'10.Grain Production details'!H54</f>
        <v>2645.5319999999992</v>
      </c>
    </row>
    <row r="24" spans="1:8">
      <c r="A24" s="201" t="str">
        <f>'10.Grain Production details'!A55</f>
        <v>Safflower</v>
      </c>
      <c r="B24" s="201">
        <f>'10.Grain Production details'!B55</f>
        <v>0</v>
      </c>
      <c r="C24" s="201">
        <f>'10.Grain Production details'!C55</f>
        <v>0</v>
      </c>
      <c r="D24" s="201">
        <f>'10.Grain Production details'!D55</f>
        <v>0</v>
      </c>
      <c r="E24" s="201">
        <f>'10.Grain Production details'!E55</f>
        <v>0</v>
      </c>
      <c r="F24" s="201">
        <f>'10.Grain Production details'!F55</f>
        <v>0</v>
      </c>
      <c r="G24" s="201">
        <f>'10.Grain Production details'!G55</f>
        <v>0</v>
      </c>
      <c r="H24" s="201">
        <f>'10.Grain Production details'!H55</f>
        <v>0</v>
      </c>
    </row>
    <row r="25" spans="1:8">
      <c r="A25" s="201">
        <f>'10.Grain Production details'!A56</f>
        <v>0</v>
      </c>
      <c r="B25" s="201">
        <f>'10.Grain Production details'!B56</f>
        <v>0</v>
      </c>
      <c r="C25" s="201">
        <f>'10.Grain Production details'!C56</f>
        <v>0</v>
      </c>
      <c r="D25" s="201">
        <f>'10.Grain Production details'!D56</f>
        <v>0</v>
      </c>
      <c r="E25" s="201">
        <f>'10.Grain Production details'!E56</f>
        <v>0</v>
      </c>
      <c r="F25" s="201">
        <f>'10.Grain Production details'!F56</f>
        <v>0</v>
      </c>
      <c r="G25" s="201">
        <f>'10.Grain Production details'!G56</f>
        <v>0</v>
      </c>
      <c r="H25" s="201">
        <f>'10.Grain Production details'!H56</f>
        <v>0</v>
      </c>
    </row>
    <row r="26" spans="1:8">
      <c r="A26" s="201">
        <f>'10.Grain Production details'!A57</f>
        <v>0</v>
      </c>
      <c r="B26" s="201">
        <f>'10.Grain Production details'!B57</f>
        <v>0</v>
      </c>
      <c r="C26" s="201">
        <f>'10.Grain Production details'!C57</f>
        <v>0</v>
      </c>
      <c r="D26" s="201">
        <f>'10.Grain Production details'!D57</f>
        <v>0</v>
      </c>
      <c r="E26" s="201">
        <f>'10.Grain Production details'!E57</f>
        <v>0</v>
      </c>
      <c r="F26" s="201">
        <f>'10.Grain Production details'!F57</f>
        <v>0</v>
      </c>
      <c r="G26" s="201">
        <f>'10.Grain Production details'!G57</f>
        <v>0</v>
      </c>
      <c r="H26" s="201">
        <f>'10.Grain Production details'!H57</f>
        <v>0</v>
      </c>
    </row>
    <row r="27" spans="1:8">
      <c r="A27" s="201">
        <f>'10.Grain Production details'!A58</f>
        <v>0</v>
      </c>
      <c r="B27" s="201">
        <f>'10.Grain Production details'!B58</f>
        <v>0</v>
      </c>
      <c r="C27" s="201">
        <f>'10.Grain Production details'!C58</f>
        <v>0</v>
      </c>
      <c r="D27" s="201">
        <f>'10.Grain Production details'!D58</f>
        <v>0</v>
      </c>
      <c r="E27" s="201">
        <f>'10.Grain Production details'!E58</f>
        <v>0</v>
      </c>
      <c r="F27" s="201">
        <f>'10.Grain Production details'!F58</f>
        <v>0</v>
      </c>
      <c r="G27" s="201">
        <f>'10.Grain Production details'!G58</f>
        <v>0</v>
      </c>
      <c r="H27" s="201">
        <f>'10.Grain Production details'!H58</f>
        <v>0</v>
      </c>
    </row>
    <row r="28" spans="1:8">
      <c r="A28" s="201" t="str">
        <f>'10.Grain Production details'!A59</f>
        <v>Groundnut</v>
      </c>
      <c r="B28" s="201">
        <f>'10.Grain Production details'!B59</f>
        <v>0</v>
      </c>
      <c r="C28" s="201">
        <f>'10.Grain Production details'!C59</f>
        <v>0</v>
      </c>
      <c r="D28" s="201">
        <f>'10.Grain Production details'!D59</f>
        <v>0</v>
      </c>
      <c r="E28" s="201">
        <f>'10.Grain Production details'!E59</f>
        <v>0</v>
      </c>
      <c r="F28" s="201">
        <f>'10.Grain Production details'!F59</f>
        <v>0</v>
      </c>
      <c r="G28" s="201">
        <f>'10.Grain Production details'!G59</f>
        <v>0</v>
      </c>
      <c r="H28" s="201">
        <f>'10.Grain Production details'!H59</f>
        <v>0</v>
      </c>
    </row>
    <row r="29" spans="1:8">
      <c r="A29" s="201">
        <f>'10.Grain Production details'!A60</f>
        <v>0</v>
      </c>
      <c r="B29" s="201">
        <f>'10.Grain Production details'!B60</f>
        <v>0</v>
      </c>
      <c r="C29" s="201">
        <f>'10.Grain Production details'!C60</f>
        <v>0</v>
      </c>
      <c r="D29" s="201">
        <f>'10.Grain Production details'!D60</f>
        <v>0</v>
      </c>
      <c r="E29" s="201">
        <f>'10.Grain Production details'!E60</f>
        <v>0</v>
      </c>
      <c r="F29" s="201">
        <f>'10.Grain Production details'!F60</f>
        <v>0</v>
      </c>
      <c r="G29" s="201">
        <f>'10.Grain Production details'!G60</f>
        <v>0</v>
      </c>
      <c r="H29" s="201">
        <f>'10.Grain Production details'!H60</f>
        <v>0</v>
      </c>
    </row>
    <row r="30" spans="1:8">
      <c r="A30" s="201">
        <f>'10.Grain Production details'!A61</f>
        <v>0</v>
      </c>
      <c r="B30" s="201">
        <f>'10.Grain Production details'!B61</f>
        <v>0</v>
      </c>
      <c r="C30" s="201">
        <f>'10.Grain Production details'!C61</f>
        <v>0</v>
      </c>
      <c r="D30" s="201">
        <f>'10.Grain Production details'!D61</f>
        <v>0</v>
      </c>
      <c r="E30" s="201">
        <f>'10.Grain Production details'!E61</f>
        <v>0</v>
      </c>
      <c r="F30" s="201">
        <f>'10.Grain Production details'!F61</f>
        <v>0</v>
      </c>
      <c r="G30" s="201">
        <f>'10.Grain Production details'!G61</f>
        <v>0</v>
      </c>
      <c r="H30" s="201">
        <f>'10.Grain Production details'!H61</f>
        <v>0</v>
      </c>
    </row>
    <row r="31" spans="1:8">
      <c r="A31" s="201">
        <f>'10.Grain Production details'!A62</f>
        <v>0</v>
      </c>
      <c r="B31" s="201">
        <f>'10.Grain Production details'!B62</f>
        <v>0</v>
      </c>
      <c r="C31" s="201">
        <f>'10.Grain Production details'!C62</f>
        <v>0</v>
      </c>
      <c r="D31" s="201">
        <f>'10.Grain Production details'!D62</f>
        <v>0</v>
      </c>
      <c r="E31" s="201">
        <f>'10.Grain Production details'!E62</f>
        <v>0</v>
      </c>
      <c r="F31" s="201">
        <f>'10.Grain Production details'!F62</f>
        <v>0</v>
      </c>
      <c r="G31" s="201">
        <f>'10.Grain Production details'!G62</f>
        <v>0</v>
      </c>
      <c r="H31" s="201">
        <f>'10.Grain Production details'!H62</f>
        <v>0</v>
      </c>
    </row>
    <row r="32" spans="1:8">
      <c r="A32" s="201">
        <f>'10.Grain Production details'!B63</f>
        <v>0</v>
      </c>
      <c r="B32" s="201">
        <f>'10.Grain Production details'!C63</f>
        <v>0</v>
      </c>
      <c r="C32" s="201">
        <f>'10.Grain Production details'!D63</f>
        <v>0</v>
      </c>
      <c r="D32" s="201">
        <f>'10.Grain Production details'!E63</f>
        <v>0</v>
      </c>
      <c r="E32" s="201">
        <f>'10.Grain Production details'!F63</f>
        <v>0</v>
      </c>
      <c r="F32" s="201">
        <f>'10.Grain Production details'!G63</f>
        <v>0</v>
      </c>
      <c r="G32" s="201">
        <f>'10.Grain Production details'!H63</f>
        <v>0</v>
      </c>
      <c r="H32" s="201">
        <f>'10.Grain Production details'!I63</f>
        <v>0</v>
      </c>
    </row>
    <row r="33" spans="1:8">
      <c r="A33" s="97" t="s">
        <v>525</v>
      </c>
      <c r="B33" s="201">
        <f t="shared" ref="B33:H33" si="1">SUM(B11:B32)</f>
        <v>13993.982436</v>
      </c>
      <c r="C33" s="201">
        <f t="shared" si="1"/>
        <v>17492.478045</v>
      </c>
      <c r="D33" s="201">
        <f t="shared" si="1"/>
        <v>20990.973654000001</v>
      </c>
      <c r="E33" s="201">
        <f t="shared" si="1"/>
        <v>24489.469262999999</v>
      </c>
      <c r="F33" s="201">
        <f t="shared" si="1"/>
        <v>27987.964871999997</v>
      </c>
      <c r="G33" s="201">
        <f t="shared" si="1"/>
        <v>31486.460480999998</v>
      </c>
      <c r="H33" s="201">
        <f t="shared" si="1"/>
        <v>34984.956089999992</v>
      </c>
    </row>
    <row r="34" spans="1:8">
      <c r="A34" s="201" t="str">
        <f>'11.F&amp;V Crop Production details'!A1:H1</f>
        <v>Fruit  &amp; Vegetables Crop Production Details</v>
      </c>
      <c r="B34" s="201"/>
      <c r="C34" s="201"/>
      <c r="D34" s="201"/>
      <c r="E34" s="201"/>
      <c r="F34" s="201"/>
      <c r="G34" s="201"/>
      <c r="H34" s="201"/>
    </row>
    <row r="35" spans="1:8">
      <c r="A35" s="201" t="str">
        <f>'11.F&amp;V Crop Production details'!A46</f>
        <v>Onion</v>
      </c>
      <c r="B35" s="201">
        <f>'11.F&amp;V Crop Production details'!B46</f>
        <v>0</v>
      </c>
      <c r="C35" s="201">
        <f>'11.F&amp;V Crop Production details'!C46</f>
        <v>0</v>
      </c>
      <c r="D35" s="201">
        <f>'11.F&amp;V Crop Production details'!D46</f>
        <v>0</v>
      </c>
      <c r="E35" s="201">
        <f>'11.F&amp;V Crop Production details'!E46</f>
        <v>0</v>
      </c>
      <c r="F35" s="201">
        <f>'11.F&amp;V Crop Production details'!F46</f>
        <v>0</v>
      </c>
      <c r="G35" s="201">
        <f>'11.F&amp;V Crop Production details'!G46</f>
        <v>0</v>
      </c>
      <c r="H35" s="201">
        <f>'11.F&amp;V Crop Production details'!H46</f>
        <v>0</v>
      </c>
    </row>
    <row r="36" spans="1:8">
      <c r="A36" s="201" t="str">
        <f>'11.F&amp;V Crop Production details'!A47</f>
        <v>Tomato</v>
      </c>
      <c r="B36" s="201">
        <f>'11.F&amp;V Crop Production details'!B47</f>
        <v>0</v>
      </c>
      <c r="C36" s="201">
        <f>'11.F&amp;V Crop Production details'!C47</f>
        <v>0</v>
      </c>
      <c r="D36" s="201">
        <f>'11.F&amp;V Crop Production details'!D47</f>
        <v>0</v>
      </c>
      <c r="E36" s="201">
        <f>'11.F&amp;V Crop Production details'!E47</f>
        <v>0</v>
      </c>
      <c r="F36" s="201">
        <f>'11.F&amp;V Crop Production details'!F47</f>
        <v>0</v>
      </c>
      <c r="G36" s="201">
        <f>'11.F&amp;V Crop Production details'!G47</f>
        <v>0</v>
      </c>
      <c r="H36" s="201">
        <f>'11.F&amp;V Crop Production details'!H47</f>
        <v>0</v>
      </c>
    </row>
    <row r="37" spans="1:8">
      <c r="A37" s="201" t="str">
        <f>'11.F&amp;V Crop Production details'!A48</f>
        <v>Okra</v>
      </c>
      <c r="B37" s="201">
        <f>'11.F&amp;V Crop Production details'!B48</f>
        <v>0</v>
      </c>
      <c r="C37" s="201">
        <f>'11.F&amp;V Crop Production details'!C48</f>
        <v>0</v>
      </c>
      <c r="D37" s="201">
        <f>'11.F&amp;V Crop Production details'!D48</f>
        <v>0</v>
      </c>
      <c r="E37" s="201">
        <f>'11.F&amp;V Crop Production details'!E48</f>
        <v>0</v>
      </c>
      <c r="F37" s="201">
        <f>'11.F&amp;V Crop Production details'!F48</f>
        <v>0</v>
      </c>
      <c r="G37" s="201">
        <f>'11.F&amp;V Crop Production details'!G48</f>
        <v>0</v>
      </c>
      <c r="H37" s="201">
        <f>'11.F&amp;V Crop Production details'!H48</f>
        <v>0</v>
      </c>
    </row>
    <row r="38" spans="1:8">
      <c r="A38" s="201" t="str">
        <f>'11.F&amp;V Crop Production details'!A49</f>
        <v>Chilli</v>
      </c>
      <c r="B38" s="201">
        <f>'11.F&amp;V Crop Production details'!B49</f>
        <v>0</v>
      </c>
      <c r="C38" s="201">
        <f>'11.F&amp;V Crop Production details'!C49</f>
        <v>0</v>
      </c>
      <c r="D38" s="201">
        <f>'11.F&amp;V Crop Production details'!D49</f>
        <v>0</v>
      </c>
      <c r="E38" s="201">
        <f>'11.F&amp;V Crop Production details'!E49</f>
        <v>0</v>
      </c>
      <c r="F38" s="201">
        <f>'11.F&amp;V Crop Production details'!F49</f>
        <v>0</v>
      </c>
      <c r="G38" s="201">
        <f>'11.F&amp;V Crop Production details'!G49</f>
        <v>0</v>
      </c>
      <c r="H38" s="201">
        <f>'11.F&amp;V Crop Production details'!H49</f>
        <v>0</v>
      </c>
    </row>
    <row r="39" spans="1:8">
      <c r="A39" s="201" t="str">
        <f>'11.F&amp;V Crop Production details'!A50</f>
        <v>Potato</v>
      </c>
      <c r="B39" s="201">
        <f>'11.F&amp;V Crop Production details'!B50</f>
        <v>0</v>
      </c>
      <c r="C39" s="201">
        <f>'11.F&amp;V Crop Production details'!C50</f>
        <v>0</v>
      </c>
      <c r="D39" s="201">
        <f>'11.F&amp;V Crop Production details'!D50</f>
        <v>0</v>
      </c>
      <c r="E39" s="201">
        <f>'11.F&amp;V Crop Production details'!E50</f>
        <v>0</v>
      </c>
      <c r="F39" s="201">
        <f>'11.F&amp;V Crop Production details'!F50</f>
        <v>0</v>
      </c>
      <c r="G39" s="201">
        <f>'11.F&amp;V Crop Production details'!G50</f>
        <v>0</v>
      </c>
      <c r="H39" s="201">
        <f>'11.F&amp;V Crop Production details'!H50</f>
        <v>0</v>
      </c>
    </row>
    <row r="40" spans="1:8">
      <c r="A40" s="201">
        <f>'11.F&amp;V Crop Production details'!A51</f>
        <v>0</v>
      </c>
      <c r="B40" s="201">
        <f>'11.F&amp;V Crop Production details'!B51</f>
        <v>0</v>
      </c>
      <c r="C40" s="201">
        <f>'11.F&amp;V Crop Production details'!C51</f>
        <v>0</v>
      </c>
      <c r="D40" s="201">
        <f>'11.F&amp;V Crop Production details'!D51</f>
        <v>0</v>
      </c>
      <c r="E40" s="201">
        <f>'11.F&amp;V Crop Production details'!E51</f>
        <v>0</v>
      </c>
      <c r="F40" s="201">
        <f>'11.F&amp;V Crop Production details'!F51</f>
        <v>0</v>
      </c>
      <c r="G40" s="201">
        <f>'11.F&amp;V Crop Production details'!G51</f>
        <v>0</v>
      </c>
      <c r="H40" s="201">
        <f>'11.F&amp;V Crop Production details'!H51</f>
        <v>0</v>
      </c>
    </row>
    <row r="41" spans="1:8">
      <c r="A41" s="201">
        <f>'11.F&amp;V Crop Production details'!A52</f>
        <v>0</v>
      </c>
      <c r="B41" s="201">
        <f>'11.F&amp;V Crop Production details'!B52</f>
        <v>0</v>
      </c>
      <c r="C41" s="201">
        <f>'11.F&amp;V Crop Production details'!C52</f>
        <v>0</v>
      </c>
      <c r="D41" s="201">
        <f>'11.F&amp;V Crop Production details'!D52</f>
        <v>0</v>
      </c>
      <c r="E41" s="201">
        <f>'11.F&amp;V Crop Production details'!E52</f>
        <v>0</v>
      </c>
      <c r="F41" s="201">
        <f>'11.F&amp;V Crop Production details'!F52</f>
        <v>0</v>
      </c>
      <c r="G41" s="201">
        <f>'11.F&amp;V Crop Production details'!G52</f>
        <v>0</v>
      </c>
      <c r="H41" s="201">
        <f>'11.F&amp;V Crop Production details'!H52</f>
        <v>0</v>
      </c>
    </row>
    <row r="42" spans="1:8">
      <c r="A42" s="201">
        <f>'11.F&amp;V Crop Production details'!A53</f>
        <v>0</v>
      </c>
      <c r="B42" s="201">
        <f>'11.F&amp;V Crop Production details'!B53</f>
        <v>0</v>
      </c>
      <c r="C42" s="201">
        <f>'11.F&amp;V Crop Production details'!C53</f>
        <v>0</v>
      </c>
      <c r="D42" s="201">
        <f>'11.F&amp;V Crop Production details'!D53</f>
        <v>0</v>
      </c>
      <c r="E42" s="201">
        <f>'11.F&amp;V Crop Production details'!E53</f>
        <v>0</v>
      </c>
      <c r="F42" s="201">
        <f>'11.F&amp;V Crop Production details'!F53</f>
        <v>0</v>
      </c>
      <c r="G42" s="201">
        <f>'11.F&amp;V Crop Production details'!G53</f>
        <v>0</v>
      </c>
      <c r="H42" s="201">
        <f>'11.F&amp;V Crop Production details'!H53</f>
        <v>0</v>
      </c>
    </row>
    <row r="43" spans="1:8">
      <c r="A43" s="201">
        <f>'11.F&amp;V Crop Production details'!A54</f>
        <v>0</v>
      </c>
      <c r="B43" s="201">
        <f>'11.F&amp;V Crop Production details'!B54</f>
        <v>0</v>
      </c>
      <c r="C43" s="201">
        <f>'11.F&amp;V Crop Production details'!C54</f>
        <v>0</v>
      </c>
      <c r="D43" s="201">
        <f>'11.F&amp;V Crop Production details'!D54</f>
        <v>0</v>
      </c>
      <c r="E43" s="201">
        <f>'11.F&amp;V Crop Production details'!E54</f>
        <v>0</v>
      </c>
      <c r="F43" s="201">
        <f>'11.F&amp;V Crop Production details'!F54</f>
        <v>0</v>
      </c>
      <c r="G43" s="201">
        <f>'11.F&amp;V Crop Production details'!G54</f>
        <v>0</v>
      </c>
      <c r="H43" s="201">
        <f>'11.F&amp;V Crop Production details'!H54</f>
        <v>0</v>
      </c>
    </row>
    <row r="44" spans="1:8">
      <c r="A44" s="201" t="str">
        <f>'11.F&amp;V Crop Production details'!A55</f>
        <v>Onion</v>
      </c>
      <c r="B44" s="201">
        <f>'11.F&amp;V Crop Production details'!B55</f>
        <v>0</v>
      </c>
      <c r="C44" s="201">
        <f>'11.F&amp;V Crop Production details'!C55</f>
        <v>0</v>
      </c>
      <c r="D44" s="201">
        <f>'11.F&amp;V Crop Production details'!D55</f>
        <v>0</v>
      </c>
      <c r="E44" s="201">
        <f>'11.F&amp;V Crop Production details'!E55</f>
        <v>0</v>
      </c>
      <c r="F44" s="201">
        <f>'11.F&amp;V Crop Production details'!F55</f>
        <v>0</v>
      </c>
      <c r="G44" s="201">
        <f>'11.F&amp;V Crop Production details'!G55</f>
        <v>0</v>
      </c>
      <c r="H44" s="201">
        <f>'11.F&amp;V Crop Production details'!H55</f>
        <v>0</v>
      </c>
    </row>
    <row r="45" spans="1:8">
      <c r="A45" s="201" t="str">
        <f>'11.F&amp;V Crop Production details'!A56</f>
        <v>Tomato</v>
      </c>
      <c r="B45" s="201">
        <f>'11.F&amp;V Crop Production details'!B56</f>
        <v>0</v>
      </c>
      <c r="C45" s="201">
        <f>'11.F&amp;V Crop Production details'!C56</f>
        <v>0</v>
      </c>
      <c r="D45" s="201">
        <f>'11.F&amp;V Crop Production details'!D56</f>
        <v>0</v>
      </c>
      <c r="E45" s="201">
        <f>'11.F&amp;V Crop Production details'!E56</f>
        <v>0</v>
      </c>
      <c r="F45" s="201">
        <f>'11.F&amp;V Crop Production details'!F56</f>
        <v>0</v>
      </c>
      <c r="G45" s="201">
        <f>'11.F&amp;V Crop Production details'!G56</f>
        <v>0</v>
      </c>
      <c r="H45" s="201">
        <f>'11.F&amp;V Crop Production details'!H56</f>
        <v>0</v>
      </c>
    </row>
    <row r="46" spans="1:8">
      <c r="A46" s="201" t="str">
        <f>'11.F&amp;V Crop Production details'!A57</f>
        <v>Okra</v>
      </c>
      <c r="B46" s="201">
        <f>'11.F&amp;V Crop Production details'!B57</f>
        <v>0</v>
      </c>
      <c r="C46" s="201">
        <f>'11.F&amp;V Crop Production details'!C57</f>
        <v>0</v>
      </c>
      <c r="D46" s="201">
        <f>'11.F&amp;V Crop Production details'!D57</f>
        <v>0</v>
      </c>
      <c r="E46" s="201">
        <f>'11.F&amp;V Crop Production details'!E57</f>
        <v>0</v>
      </c>
      <c r="F46" s="201">
        <f>'11.F&amp;V Crop Production details'!F57</f>
        <v>0</v>
      </c>
      <c r="G46" s="201">
        <f>'11.F&amp;V Crop Production details'!G57</f>
        <v>0</v>
      </c>
      <c r="H46" s="201">
        <f>'11.F&amp;V Crop Production details'!H57</f>
        <v>0</v>
      </c>
    </row>
    <row r="47" spans="1:8">
      <c r="A47" s="201" t="str">
        <f>'11.F&amp;V Crop Production details'!A58</f>
        <v>Chilli</v>
      </c>
      <c r="B47" s="201">
        <f>'11.F&amp;V Crop Production details'!B58</f>
        <v>0</v>
      </c>
      <c r="C47" s="201">
        <f>'11.F&amp;V Crop Production details'!C58</f>
        <v>0</v>
      </c>
      <c r="D47" s="201">
        <f>'11.F&amp;V Crop Production details'!D58</f>
        <v>0</v>
      </c>
      <c r="E47" s="201">
        <f>'11.F&amp;V Crop Production details'!E58</f>
        <v>0</v>
      </c>
      <c r="F47" s="201">
        <f>'11.F&amp;V Crop Production details'!F58</f>
        <v>0</v>
      </c>
      <c r="G47" s="201">
        <f>'11.F&amp;V Crop Production details'!G58</f>
        <v>0</v>
      </c>
      <c r="H47" s="201">
        <f>'11.F&amp;V Crop Production details'!H58</f>
        <v>0</v>
      </c>
    </row>
    <row r="48" spans="1:8">
      <c r="A48" s="201" t="str">
        <f>'11.F&amp;V Crop Production details'!A59</f>
        <v>Brinjal</v>
      </c>
      <c r="B48" s="201">
        <f>'11.F&amp;V Crop Production details'!B59</f>
        <v>0</v>
      </c>
      <c r="C48" s="201">
        <f>'11.F&amp;V Crop Production details'!C59</f>
        <v>0</v>
      </c>
      <c r="D48" s="201">
        <f>'11.F&amp;V Crop Production details'!D59</f>
        <v>0</v>
      </c>
      <c r="E48" s="201">
        <f>'11.F&amp;V Crop Production details'!E59</f>
        <v>0</v>
      </c>
      <c r="F48" s="201">
        <f>'11.F&amp;V Crop Production details'!F59</f>
        <v>0</v>
      </c>
      <c r="G48" s="201">
        <f>'11.F&amp;V Crop Production details'!G59</f>
        <v>0</v>
      </c>
      <c r="H48" s="201">
        <f>'11.F&amp;V Crop Production details'!H59</f>
        <v>0</v>
      </c>
    </row>
    <row r="49" spans="1:8">
      <c r="A49" s="201">
        <f>'11.F&amp;V Crop Production details'!A60</f>
        <v>0</v>
      </c>
      <c r="B49" s="201">
        <f>'11.F&amp;V Crop Production details'!B60</f>
        <v>0</v>
      </c>
      <c r="C49" s="201">
        <f>'11.F&amp;V Crop Production details'!C60</f>
        <v>0</v>
      </c>
      <c r="D49" s="201">
        <f>'11.F&amp;V Crop Production details'!D60</f>
        <v>0</v>
      </c>
      <c r="E49" s="201">
        <f>'11.F&amp;V Crop Production details'!E60</f>
        <v>0</v>
      </c>
      <c r="F49" s="201">
        <f>'11.F&amp;V Crop Production details'!F60</f>
        <v>0</v>
      </c>
      <c r="G49" s="201">
        <f>'11.F&amp;V Crop Production details'!G60</f>
        <v>0</v>
      </c>
      <c r="H49" s="201">
        <f>'11.F&amp;V Crop Production details'!H60</f>
        <v>0</v>
      </c>
    </row>
    <row r="50" spans="1:8">
      <c r="A50" s="201">
        <f>'11.F&amp;V Crop Production details'!A61</f>
        <v>0</v>
      </c>
      <c r="B50" s="201">
        <f>'11.F&amp;V Crop Production details'!B61</f>
        <v>0</v>
      </c>
      <c r="C50" s="201">
        <f>'11.F&amp;V Crop Production details'!C61</f>
        <v>0</v>
      </c>
      <c r="D50" s="201">
        <f>'11.F&amp;V Crop Production details'!D61</f>
        <v>0</v>
      </c>
      <c r="E50" s="201">
        <f>'11.F&amp;V Crop Production details'!E61</f>
        <v>0</v>
      </c>
      <c r="F50" s="201">
        <f>'11.F&amp;V Crop Production details'!F61</f>
        <v>0</v>
      </c>
      <c r="G50" s="201">
        <f>'11.F&amp;V Crop Production details'!G61</f>
        <v>0</v>
      </c>
      <c r="H50" s="201">
        <f>'11.F&amp;V Crop Production details'!H61</f>
        <v>0</v>
      </c>
    </row>
    <row r="51" spans="1:8">
      <c r="A51" s="201">
        <f>'11.F&amp;V Crop Production details'!A62</f>
        <v>0</v>
      </c>
      <c r="B51" s="201">
        <f>'11.F&amp;V Crop Production details'!B62</f>
        <v>0</v>
      </c>
      <c r="C51" s="201">
        <f>'11.F&amp;V Crop Production details'!C62</f>
        <v>0</v>
      </c>
      <c r="D51" s="201">
        <f>'11.F&amp;V Crop Production details'!D62</f>
        <v>0</v>
      </c>
      <c r="E51" s="201">
        <f>'11.F&amp;V Crop Production details'!E62</f>
        <v>0</v>
      </c>
      <c r="F51" s="201">
        <f>'11.F&amp;V Crop Production details'!F62</f>
        <v>0</v>
      </c>
      <c r="G51" s="201">
        <f>'11.F&amp;V Crop Production details'!G62</f>
        <v>0</v>
      </c>
      <c r="H51" s="201">
        <f>'11.F&amp;V Crop Production details'!H62</f>
        <v>0</v>
      </c>
    </row>
    <row r="52" spans="1:8">
      <c r="A52" s="201">
        <f>'11.F&amp;V Crop Production details'!A63</f>
        <v>0</v>
      </c>
      <c r="B52" s="201">
        <f>'11.F&amp;V Crop Production details'!B63</f>
        <v>0</v>
      </c>
      <c r="C52" s="201">
        <f>'11.F&amp;V Crop Production details'!C63</f>
        <v>0</v>
      </c>
      <c r="D52" s="201">
        <f>'11.F&amp;V Crop Production details'!D63</f>
        <v>0</v>
      </c>
      <c r="E52" s="201">
        <f>'11.F&amp;V Crop Production details'!E63</f>
        <v>0</v>
      </c>
      <c r="F52" s="201">
        <f>'11.F&amp;V Crop Production details'!F63</f>
        <v>0</v>
      </c>
      <c r="G52" s="201">
        <f>'11.F&amp;V Crop Production details'!G63</f>
        <v>0</v>
      </c>
      <c r="H52" s="201">
        <f>'11.F&amp;V Crop Production details'!H63</f>
        <v>0</v>
      </c>
    </row>
    <row r="53" spans="1:8">
      <c r="A53" s="201">
        <f>'11.F&amp;V Crop Production details'!A64</f>
        <v>0</v>
      </c>
      <c r="B53" s="201"/>
      <c r="C53" s="201"/>
      <c r="D53" s="201"/>
      <c r="E53" s="201"/>
      <c r="F53" s="201"/>
      <c r="G53" s="201"/>
      <c r="H53" s="201"/>
    </row>
    <row r="54" spans="1:8">
      <c r="A54" s="201">
        <f>'11.F&amp;V Crop Production details'!A65</f>
        <v>0</v>
      </c>
      <c r="B54" s="201"/>
      <c r="C54" s="201"/>
      <c r="D54" s="201"/>
      <c r="E54" s="201"/>
      <c r="F54" s="201"/>
      <c r="G54" s="201"/>
      <c r="H54" s="201"/>
    </row>
    <row r="55" spans="1:8">
      <c r="A55" s="201">
        <f>'11.F&amp;V Crop Production details'!A66</f>
        <v>0</v>
      </c>
      <c r="B55" s="201"/>
      <c r="C55" s="201"/>
      <c r="D55" s="201"/>
      <c r="E55" s="201"/>
      <c r="F55" s="201"/>
      <c r="G55" s="201"/>
      <c r="H55" s="201"/>
    </row>
    <row r="56" spans="1:8">
      <c r="A56" s="201" t="str">
        <f>'11.F&amp;V Crop Production details'!A67</f>
        <v>Pomegranate</v>
      </c>
      <c r="B56" s="201">
        <f>'11.F&amp;V Crop Production details'!B67</f>
        <v>0</v>
      </c>
      <c r="C56" s="201">
        <f>'11.F&amp;V Crop Production details'!C67</f>
        <v>0</v>
      </c>
      <c r="D56" s="201">
        <f>'11.F&amp;V Crop Production details'!D67</f>
        <v>0</v>
      </c>
      <c r="E56" s="201">
        <f>'11.F&amp;V Crop Production details'!E67</f>
        <v>0</v>
      </c>
      <c r="F56" s="201">
        <f>'11.F&amp;V Crop Production details'!F67</f>
        <v>0</v>
      </c>
      <c r="G56" s="201">
        <f>'11.F&amp;V Crop Production details'!G67</f>
        <v>0</v>
      </c>
      <c r="H56" s="201">
        <f>'11.F&amp;V Crop Production details'!H67</f>
        <v>0</v>
      </c>
    </row>
    <row r="57" spans="1:8">
      <c r="A57" s="201" t="str">
        <f>'11.F&amp;V Crop Production details'!A68</f>
        <v>Custard Apple</v>
      </c>
      <c r="B57" s="201">
        <f>'11.F&amp;V Crop Production details'!B68</f>
        <v>0</v>
      </c>
      <c r="C57" s="201">
        <f>'11.F&amp;V Crop Production details'!C68</f>
        <v>0</v>
      </c>
      <c r="D57" s="201">
        <f>'11.F&amp;V Crop Production details'!D68</f>
        <v>0</v>
      </c>
      <c r="E57" s="201">
        <f>'11.F&amp;V Crop Production details'!E68</f>
        <v>0</v>
      </c>
      <c r="F57" s="201">
        <f>'11.F&amp;V Crop Production details'!F68</f>
        <v>0</v>
      </c>
      <c r="G57" s="201">
        <f>'11.F&amp;V Crop Production details'!G68</f>
        <v>0</v>
      </c>
      <c r="H57" s="201">
        <f>'11.F&amp;V Crop Production details'!H68</f>
        <v>0</v>
      </c>
    </row>
    <row r="58" spans="1:8">
      <c r="A58" s="201" t="str">
        <f>'11.F&amp;V Crop Production details'!A69</f>
        <v>Guava</v>
      </c>
      <c r="B58" s="201">
        <f>'11.F&amp;V Crop Production details'!B69</f>
        <v>0</v>
      </c>
      <c r="C58" s="201">
        <f>'11.F&amp;V Crop Production details'!C69</f>
        <v>0</v>
      </c>
      <c r="D58" s="201">
        <f>'11.F&amp;V Crop Production details'!D69</f>
        <v>0</v>
      </c>
      <c r="E58" s="201">
        <f>'11.F&amp;V Crop Production details'!E69</f>
        <v>0</v>
      </c>
      <c r="F58" s="201">
        <f>'11.F&amp;V Crop Production details'!F69</f>
        <v>0</v>
      </c>
      <c r="G58" s="201">
        <f>'11.F&amp;V Crop Production details'!G69</f>
        <v>0</v>
      </c>
      <c r="H58" s="201">
        <f>'11.F&amp;V Crop Production details'!H69</f>
        <v>0</v>
      </c>
    </row>
    <row r="59" spans="1:8">
      <c r="A59" s="201" t="str">
        <f>'11.F&amp;V Crop Production details'!A70</f>
        <v>Citrus</v>
      </c>
      <c r="B59" s="201">
        <f>'11.F&amp;V Crop Production details'!B70</f>
        <v>0</v>
      </c>
      <c r="C59" s="201">
        <f>'11.F&amp;V Crop Production details'!C70</f>
        <v>0</v>
      </c>
      <c r="D59" s="201">
        <f>'11.F&amp;V Crop Production details'!D70</f>
        <v>0</v>
      </c>
      <c r="E59" s="201">
        <f>'11.F&amp;V Crop Production details'!E70</f>
        <v>0</v>
      </c>
      <c r="F59" s="201">
        <f>'11.F&amp;V Crop Production details'!F70</f>
        <v>0</v>
      </c>
      <c r="G59" s="201">
        <f>'11.F&amp;V Crop Production details'!G70</f>
        <v>0</v>
      </c>
      <c r="H59" s="201">
        <f>'11.F&amp;V Crop Production details'!H70</f>
        <v>0</v>
      </c>
    </row>
    <row r="60" spans="1:8">
      <c r="A60" s="201"/>
      <c r="B60" s="201"/>
      <c r="C60" s="201"/>
      <c r="D60" s="201"/>
      <c r="E60" s="201"/>
      <c r="F60" s="201"/>
      <c r="G60" s="201"/>
      <c r="H60" s="201"/>
    </row>
    <row r="61" spans="1:8">
      <c r="A61" s="97" t="s">
        <v>524</v>
      </c>
      <c r="B61" s="201">
        <f t="shared" ref="B61:H61" si="2">SUM(B35:B59)</f>
        <v>0</v>
      </c>
      <c r="C61" s="201">
        <f t="shared" si="2"/>
        <v>0</v>
      </c>
      <c r="D61" s="201">
        <f t="shared" si="2"/>
        <v>0</v>
      </c>
      <c r="E61" s="201">
        <f t="shared" si="2"/>
        <v>0</v>
      </c>
      <c r="F61" s="201">
        <f t="shared" si="2"/>
        <v>0</v>
      </c>
      <c r="G61" s="201">
        <f t="shared" si="2"/>
        <v>0</v>
      </c>
      <c r="H61" s="201">
        <f t="shared" si="2"/>
        <v>0</v>
      </c>
    </row>
    <row r="62" spans="1:8">
      <c r="A62" s="284" t="s">
        <v>526</v>
      </c>
      <c r="B62" s="303">
        <v>0.5</v>
      </c>
      <c r="C62" s="303">
        <v>0.5</v>
      </c>
      <c r="D62" s="303">
        <v>0.5</v>
      </c>
      <c r="E62" s="303">
        <v>0.5</v>
      </c>
      <c r="F62" s="303">
        <v>0.5</v>
      </c>
      <c r="G62" s="303">
        <v>0.5</v>
      </c>
      <c r="H62" s="303">
        <v>0.5</v>
      </c>
    </row>
    <row r="63" spans="1:8">
      <c r="A63" s="284" t="s">
        <v>527</v>
      </c>
      <c r="B63" s="303">
        <f t="shared" ref="B63:H63" si="3">1-B62</f>
        <v>0.5</v>
      </c>
      <c r="C63" s="303">
        <f t="shared" si="3"/>
        <v>0.5</v>
      </c>
      <c r="D63" s="303">
        <f t="shared" si="3"/>
        <v>0.5</v>
      </c>
      <c r="E63" s="303">
        <f t="shared" si="3"/>
        <v>0.5</v>
      </c>
      <c r="F63" s="303">
        <f t="shared" si="3"/>
        <v>0.5</v>
      </c>
      <c r="G63" s="303">
        <f t="shared" si="3"/>
        <v>0.5</v>
      </c>
      <c r="H63" s="303">
        <f t="shared" si="3"/>
        <v>0.5</v>
      </c>
    </row>
    <row r="64" spans="1:8">
      <c r="A64" s="284"/>
      <c r="B64" s="303"/>
      <c r="C64" s="303"/>
      <c r="D64" s="303"/>
      <c r="E64" s="303"/>
      <c r="F64" s="303"/>
      <c r="G64" s="303"/>
      <c r="H64" s="303"/>
    </row>
    <row r="65" spans="1:8">
      <c r="A65" s="284" t="s">
        <v>167</v>
      </c>
      <c r="B65" s="285">
        <f t="shared" ref="B65:H65" si="4">B33*B62</f>
        <v>6996.9912180000001</v>
      </c>
      <c r="C65" s="285">
        <f t="shared" si="4"/>
        <v>8746.2390224999999</v>
      </c>
      <c r="D65" s="285">
        <f t="shared" si="4"/>
        <v>10495.486827000001</v>
      </c>
      <c r="E65" s="285">
        <f t="shared" si="4"/>
        <v>12244.7346315</v>
      </c>
      <c r="F65" s="285">
        <f t="shared" si="4"/>
        <v>13993.982435999998</v>
      </c>
      <c r="G65" s="285">
        <f t="shared" si="4"/>
        <v>15743.230240499999</v>
      </c>
      <c r="H65" s="285">
        <f t="shared" si="4"/>
        <v>17492.478044999996</v>
      </c>
    </row>
    <row r="66" spans="1:8">
      <c r="A66" s="97"/>
      <c r="B66" s="201"/>
      <c r="C66" s="201"/>
      <c r="D66" s="201"/>
      <c r="E66" s="201"/>
      <c r="F66" s="201"/>
      <c r="G66" s="201"/>
      <c r="H66" s="201"/>
    </row>
    <row r="67" spans="1:8">
      <c r="A67" s="97" t="s">
        <v>168</v>
      </c>
      <c r="B67" s="201"/>
      <c r="C67" s="201"/>
      <c r="D67" s="201"/>
      <c r="E67" s="201"/>
      <c r="F67" s="201"/>
      <c r="G67" s="201"/>
      <c r="H67" s="201"/>
    </row>
    <row r="68" spans="1:8">
      <c r="A68" s="95" t="str">
        <f t="shared" ref="A68:A89" si="5">A11</f>
        <v>Soybean</v>
      </c>
      <c r="B68" s="301">
        <f t="shared" ref="B68:B89" si="6">B11*$B$63</f>
        <v>1256.6277</v>
      </c>
      <c r="C68" s="301">
        <f t="shared" ref="C68:C83" si="7">C11*$C$63</f>
        <v>1570.784625</v>
      </c>
      <c r="D68" s="301">
        <f t="shared" ref="D68:D83" si="8">D11*$D$63</f>
        <v>1884.94155</v>
      </c>
      <c r="E68" s="301">
        <f t="shared" ref="E68:E83" si="9">E11*$E$63</f>
        <v>2199.0984749999998</v>
      </c>
      <c r="F68" s="301">
        <f t="shared" ref="F68:F83" si="10">F11*$F$63</f>
        <v>2513.2554</v>
      </c>
      <c r="G68" s="301">
        <f t="shared" ref="G68:G83" si="11">G11*$G$63</f>
        <v>2827.4123250000002</v>
      </c>
      <c r="H68" s="301">
        <f t="shared" ref="H68:H83" si="12">H11*$H$63</f>
        <v>3141.56925</v>
      </c>
    </row>
    <row r="69" spans="1:8">
      <c r="A69" s="95" t="str">
        <f t="shared" si="5"/>
        <v>Red Gram/Tur</v>
      </c>
      <c r="B69" s="301">
        <f t="shared" si="6"/>
        <v>0</v>
      </c>
      <c r="C69" s="301">
        <f t="shared" si="7"/>
        <v>0</v>
      </c>
      <c r="D69" s="301">
        <f t="shared" si="8"/>
        <v>0</v>
      </c>
      <c r="E69" s="301">
        <f t="shared" si="9"/>
        <v>0</v>
      </c>
      <c r="F69" s="301">
        <f t="shared" si="10"/>
        <v>0</v>
      </c>
      <c r="G69" s="301">
        <f t="shared" si="11"/>
        <v>0</v>
      </c>
      <c r="H69" s="301">
        <f t="shared" si="12"/>
        <v>0</v>
      </c>
    </row>
    <row r="70" spans="1:8">
      <c r="A70" s="95" t="str">
        <f t="shared" si="5"/>
        <v>Paddy/Rice</v>
      </c>
      <c r="B70" s="301">
        <f t="shared" si="6"/>
        <v>0</v>
      </c>
      <c r="C70" s="301">
        <f t="shared" si="7"/>
        <v>0</v>
      </c>
      <c r="D70" s="301">
        <f t="shared" si="8"/>
        <v>0</v>
      </c>
      <c r="E70" s="301">
        <f t="shared" si="9"/>
        <v>0</v>
      </c>
      <c r="F70" s="301">
        <f t="shared" si="10"/>
        <v>0</v>
      </c>
      <c r="G70" s="301">
        <f t="shared" si="11"/>
        <v>0</v>
      </c>
      <c r="H70" s="301">
        <f t="shared" si="12"/>
        <v>0</v>
      </c>
    </row>
    <row r="71" spans="1:8">
      <c r="A71" s="95" t="str">
        <f t="shared" si="5"/>
        <v>Green Gram/ Moong</v>
      </c>
      <c r="B71" s="301">
        <f t="shared" si="6"/>
        <v>453.7087380000001</v>
      </c>
      <c r="C71" s="301">
        <f t="shared" si="7"/>
        <v>567.13592250000011</v>
      </c>
      <c r="D71" s="301">
        <f t="shared" si="8"/>
        <v>680.56310700000006</v>
      </c>
      <c r="E71" s="301">
        <f t="shared" si="9"/>
        <v>793.99029150000013</v>
      </c>
      <c r="F71" s="301">
        <f t="shared" si="10"/>
        <v>907.41747600000008</v>
      </c>
      <c r="G71" s="301">
        <f t="shared" si="11"/>
        <v>1020.8446605000001</v>
      </c>
      <c r="H71" s="301">
        <f t="shared" si="12"/>
        <v>1134.271845</v>
      </c>
    </row>
    <row r="72" spans="1:8">
      <c r="A72" s="95" t="str">
        <f t="shared" si="5"/>
        <v>Maize</v>
      </c>
      <c r="B72" s="301">
        <f t="shared" si="6"/>
        <v>3527.3760000000002</v>
      </c>
      <c r="C72" s="301">
        <f t="shared" si="7"/>
        <v>4409.22</v>
      </c>
      <c r="D72" s="301">
        <f t="shared" si="8"/>
        <v>5291.0640000000003</v>
      </c>
      <c r="E72" s="301">
        <f t="shared" si="9"/>
        <v>6172.9080000000004</v>
      </c>
      <c r="F72" s="301">
        <f t="shared" si="10"/>
        <v>7054.7519999999995</v>
      </c>
      <c r="G72" s="301">
        <f t="shared" si="11"/>
        <v>7936.5959999999995</v>
      </c>
      <c r="H72" s="301">
        <f t="shared" si="12"/>
        <v>8818.4399999999987</v>
      </c>
    </row>
    <row r="73" spans="1:8">
      <c r="A73" s="95" t="str">
        <f t="shared" si="5"/>
        <v>Black Gram/Udid</v>
      </c>
      <c r="B73" s="301">
        <f t="shared" si="6"/>
        <v>277.78086000000002</v>
      </c>
      <c r="C73" s="301">
        <f t="shared" si="7"/>
        <v>347.22607499999998</v>
      </c>
      <c r="D73" s="301">
        <f t="shared" si="8"/>
        <v>416.67128999999994</v>
      </c>
      <c r="E73" s="301">
        <f t="shared" si="9"/>
        <v>486.11650499999996</v>
      </c>
      <c r="F73" s="301">
        <f t="shared" si="10"/>
        <v>555.56171999999992</v>
      </c>
      <c r="G73" s="301">
        <f t="shared" si="11"/>
        <v>625.00693499999988</v>
      </c>
      <c r="H73" s="301">
        <f t="shared" si="12"/>
        <v>694.45214999999985</v>
      </c>
    </row>
    <row r="74" spans="1:8">
      <c r="A74" s="95" t="str">
        <f t="shared" si="5"/>
        <v>Bajra</v>
      </c>
      <c r="B74" s="301">
        <f t="shared" si="6"/>
        <v>0</v>
      </c>
      <c r="C74" s="301">
        <f t="shared" si="7"/>
        <v>0</v>
      </c>
      <c r="D74" s="301">
        <f t="shared" si="8"/>
        <v>0</v>
      </c>
      <c r="E74" s="301">
        <f t="shared" si="9"/>
        <v>0</v>
      </c>
      <c r="F74" s="301">
        <f t="shared" si="10"/>
        <v>0</v>
      </c>
      <c r="G74" s="301">
        <f t="shared" si="11"/>
        <v>0</v>
      </c>
      <c r="H74" s="301">
        <f t="shared" si="12"/>
        <v>0</v>
      </c>
    </row>
    <row r="75" spans="1:8">
      <c r="A75" s="95" t="str">
        <f t="shared" si="5"/>
        <v>Jawar</v>
      </c>
      <c r="B75" s="301">
        <f t="shared" si="6"/>
        <v>0</v>
      </c>
      <c r="C75" s="301">
        <f t="shared" si="7"/>
        <v>0</v>
      </c>
      <c r="D75" s="301">
        <f t="shared" si="8"/>
        <v>0</v>
      </c>
      <c r="E75" s="301">
        <f t="shared" si="9"/>
        <v>0</v>
      </c>
      <c r="F75" s="301">
        <f t="shared" si="10"/>
        <v>0</v>
      </c>
      <c r="G75" s="301">
        <f t="shared" si="11"/>
        <v>0</v>
      </c>
      <c r="H75" s="301">
        <f t="shared" si="12"/>
        <v>0</v>
      </c>
    </row>
    <row r="76" spans="1:8">
      <c r="A76" s="95" t="str">
        <f t="shared" si="5"/>
        <v>Sunflower</v>
      </c>
      <c r="B76" s="301">
        <f t="shared" si="6"/>
        <v>0</v>
      </c>
      <c r="C76" s="301">
        <f t="shared" si="7"/>
        <v>0</v>
      </c>
      <c r="D76" s="301">
        <f t="shared" si="8"/>
        <v>0</v>
      </c>
      <c r="E76" s="301">
        <f t="shared" si="9"/>
        <v>0</v>
      </c>
      <c r="F76" s="301">
        <f t="shared" si="10"/>
        <v>0</v>
      </c>
      <c r="G76" s="301">
        <f t="shared" si="11"/>
        <v>0</v>
      </c>
      <c r="H76" s="301">
        <f t="shared" si="12"/>
        <v>0</v>
      </c>
    </row>
    <row r="77" spans="1:8">
      <c r="A77" s="95" t="str">
        <f t="shared" si="5"/>
        <v>Wheat</v>
      </c>
      <c r="B77" s="301">
        <f t="shared" si="6"/>
        <v>357.14682000000005</v>
      </c>
      <c r="C77" s="301">
        <f t="shared" si="7"/>
        <v>446.43352500000003</v>
      </c>
      <c r="D77" s="301">
        <f t="shared" si="8"/>
        <v>535.72023000000002</v>
      </c>
      <c r="E77" s="301">
        <f t="shared" si="9"/>
        <v>625.006935</v>
      </c>
      <c r="F77" s="301">
        <f t="shared" si="10"/>
        <v>714.29363999999998</v>
      </c>
      <c r="G77" s="301">
        <f t="shared" si="11"/>
        <v>803.58034499999997</v>
      </c>
      <c r="H77" s="301">
        <f t="shared" si="12"/>
        <v>892.86704999999995</v>
      </c>
    </row>
    <row r="78" spans="1:8">
      <c r="A78" s="95" t="str">
        <f t="shared" si="5"/>
        <v>Bengal Gram/Channa</v>
      </c>
      <c r="B78" s="301">
        <f t="shared" si="6"/>
        <v>595.24470000000008</v>
      </c>
      <c r="C78" s="301">
        <f t="shared" si="7"/>
        <v>744.05587500000001</v>
      </c>
      <c r="D78" s="301">
        <f t="shared" si="8"/>
        <v>892.86704999999995</v>
      </c>
      <c r="E78" s="301">
        <f t="shared" si="9"/>
        <v>1041.6782249999999</v>
      </c>
      <c r="F78" s="301">
        <f t="shared" si="10"/>
        <v>1190.4893999999999</v>
      </c>
      <c r="G78" s="301">
        <f t="shared" si="11"/>
        <v>1339.300575</v>
      </c>
      <c r="H78" s="301">
        <f t="shared" si="12"/>
        <v>1488.1117499999998</v>
      </c>
    </row>
    <row r="79" spans="1:8">
      <c r="A79" s="95" t="str">
        <f t="shared" si="5"/>
        <v>Jawar</v>
      </c>
      <c r="B79" s="301">
        <f t="shared" si="6"/>
        <v>0</v>
      </c>
      <c r="C79" s="301">
        <f t="shared" si="7"/>
        <v>0</v>
      </c>
      <c r="D79" s="301">
        <f t="shared" si="8"/>
        <v>0</v>
      </c>
      <c r="E79" s="301">
        <f t="shared" si="9"/>
        <v>0</v>
      </c>
      <c r="F79" s="301">
        <f t="shared" si="10"/>
        <v>0</v>
      </c>
      <c r="G79" s="301">
        <f t="shared" si="11"/>
        <v>0</v>
      </c>
      <c r="H79" s="301">
        <f t="shared" si="12"/>
        <v>0</v>
      </c>
    </row>
    <row r="80" spans="1:8">
      <c r="A80" s="95" t="str">
        <f t="shared" si="5"/>
        <v>Maize</v>
      </c>
      <c r="B80" s="301">
        <f t="shared" si="6"/>
        <v>529.10640000000001</v>
      </c>
      <c r="C80" s="301">
        <f t="shared" si="7"/>
        <v>661.38299999999992</v>
      </c>
      <c r="D80" s="301">
        <f t="shared" si="8"/>
        <v>793.65959999999984</v>
      </c>
      <c r="E80" s="301">
        <f t="shared" si="9"/>
        <v>925.93619999999987</v>
      </c>
      <c r="F80" s="301">
        <f t="shared" si="10"/>
        <v>1058.2127999999998</v>
      </c>
      <c r="G80" s="301">
        <f t="shared" si="11"/>
        <v>1190.4893999999997</v>
      </c>
      <c r="H80" s="301">
        <f t="shared" si="12"/>
        <v>1322.7659999999996</v>
      </c>
    </row>
    <row r="81" spans="1:12">
      <c r="A81" s="95" t="str">
        <f t="shared" si="5"/>
        <v>Safflower</v>
      </c>
      <c r="B81" s="301">
        <f t="shared" si="6"/>
        <v>0</v>
      </c>
      <c r="C81" s="301">
        <f t="shared" si="7"/>
        <v>0</v>
      </c>
      <c r="D81" s="301">
        <f t="shared" si="8"/>
        <v>0</v>
      </c>
      <c r="E81" s="301">
        <f t="shared" si="9"/>
        <v>0</v>
      </c>
      <c r="F81" s="301">
        <f t="shared" si="10"/>
        <v>0</v>
      </c>
      <c r="G81" s="301">
        <f t="shared" si="11"/>
        <v>0</v>
      </c>
      <c r="H81" s="301">
        <f t="shared" si="12"/>
        <v>0</v>
      </c>
    </row>
    <row r="82" spans="1:12">
      <c r="A82" s="95">
        <f t="shared" si="5"/>
        <v>0</v>
      </c>
      <c r="B82" s="301">
        <f t="shared" si="6"/>
        <v>0</v>
      </c>
      <c r="C82" s="301">
        <f t="shared" si="7"/>
        <v>0</v>
      </c>
      <c r="D82" s="301">
        <f t="shared" si="8"/>
        <v>0</v>
      </c>
      <c r="E82" s="301">
        <f t="shared" si="9"/>
        <v>0</v>
      </c>
      <c r="F82" s="301">
        <f t="shared" si="10"/>
        <v>0</v>
      </c>
      <c r="G82" s="301">
        <f t="shared" si="11"/>
        <v>0</v>
      </c>
      <c r="H82" s="301">
        <f t="shared" si="12"/>
        <v>0</v>
      </c>
    </row>
    <row r="83" spans="1:12">
      <c r="A83" s="95">
        <f t="shared" si="5"/>
        <v>0</v>
      </c>
      <c r="B83" s="301">
        <f t="shared" si="6"/>
        <v>0</v>
      </c>
      <c r="C83" s="301">
        <f t="shared" si="7"/>
        <v>0</v>
      </c>
      <c r="D83" s="301">
        <f t="shared" si="8"/>
        <v>0</v>
      </c>
      <c r="E83" s="301">
        <f t="shared" si="9"/>
        <v>0</v>
      </c>
      <c r="F83" s="301">
        <f t="shared" si="10"/>
        <v>0</v>
      </c>
      <c r="G83" s="301">
        <f t="shared" si="11"/>
        <v>0</v>
      </c>
      <c r="H83" s="301">
        <f t="shared" si="12"/>
        <v>0</v>
      </c>
    </row>
    <row r="84" spans="1:12">
      <c r="A84" s="95">
        <f t="shared" si="5"/>
        <v>0</v>
      </c>
      <c r="B84" s="301">
        <f t="shared" si="6"/>
        <v>0</v>
      </c>
      <c r="C84" s="301">
        <f t="shared" ref="C84:H89" si="13">C27*$B$63</f>
        <v>0</v>
      </c>
      <c r="D84" s="301">
        <f t="shared" si="13"/>
        <v>0</v>
      </c>
      <c r="E84" s="301">
        <f t="shared" si="13"/>
        <v>0</v>
      </c>
      <c r="F84" s="301">
        <f t="shared" si="13"/>
        <v>0</v>
      </c>
      <c r="G84" s="301">
        <f t="shared" si="13"/>
        <v>0</v>
      </c>
      <c r="H84" s="301">
        <f t="shared" si="13"/>
        <v>0</v>
      </c>
    </row>
    <row r="85" spans="1:12">
      <c r="A85" s="95" t="str">
        <f t="shared" si="5"/>
        <v>Groundnut</v>
      </c>
      <c r="B85" s="301">
        <f t="shared" si="6"/>
        <v>0</v>
      </c>
      <c r="C85" s="301">
        <f t="shared" si="13"/>
        <v>0</v>
      </c>
      <c r="D85" s="301">
        <f t="shared" si="13"/>
        <v>0</v>
      </c>
      <c r="E85" s="301">
        <f t="shared" si="13"/>
        <v>0</v>
      </c>
      <c r="F85" s="301">
        <f t="shared" si="13"/>
        <v>0</v>
      </c>
      <c r="G85" s="301">
        <f t="shared" si="13"/>
        <v>0</v>
      </c>
      <c r="H85" s="301">
        <f t="shared" si="13"/>
        <v>0</v>
      </c>
    </row>
    <row r="86" spans="1:12">
      <c r="A86" s="95">
        <f t="shared" si="5"/>
        <v>0</v>
      </c>
      <c r="B86" s="301">
        <f t="shared" si="6"/>
        <v>0</v>
      </c>
      <c r="C86" s="301">
        <f t="shared" si="13"/>
        <v>0</v>
      </c>
      <c r="D86" s="301">
        <f t="shared" si="13"/>
        <v>0</v>
      </c>
      <c r="E86" s="301">
        <f t="shared" si="13"/>
        <v>0</v>
      </c>
      <c r="F86" s="301">
        <f t="shared" si="13"/>
        <v>0</v>
      </c>
      <c r="G86" s="301">
        <f t="shared" si="13"/>
        <v>0</v>
      </c>
      <c r="H86" s="301">
        <f t="shared" si="13"/>
        <v>0</v>
      </c>
    </row>
    <row r="87" spans="1:12">
      <c r="A87" s="95">
        <f t="shared" si="5"/>
        <v>0</v>
      </c>
      <c r="B87" s="301">
        <f t="shared" si="6"/>
        <v>0</v>
      </c>
      <c r="C87" s="301">
        <f t="shared" si="13"/>
        <v>0</v>
      </c>
      <c r="D87" s="301">
        <f t="shared" si="13"/>
        <v>0</v>
      </c>
      <c r="E87" s="301">
        <f t="shared" si="13"/>
        <v>0</v>
      </c>
      <c r="F87" s="301">
        <f t="shared" si="13"/>
        <v>0</v>
      </c>
      <c r="G87" s="301">
        <f t="shared" si="13"/>
        <v>0</v>
      </c>
      <c r="H87" s="301">
        <f t="shared" si="13"/>
        <v>0</v>
      </c>
    </row>
    <row r="88" spans="1:12">
      <c r="A88" s="95">
        <f t="shared" si="5"/>
        <v>0</v>
      </c>
      <c r="B88" s="301">
        <f t="shared" si="6"/>
        <v>0</v>
      </c>
      <c r="C88" s="301">
        <f t="shared" si="13"/>
        <v>0</v>
      </c>
      <c r="D88" s="301">
        <f t="shared" si="13"/>
        <v>0</v>
      </c>
      <c r="E88" s="301">
        <f t="shared" si="13"/>
        <v>0</v>
      </c>
      <c r="F88" s="301">
        <f t="shared" si="13"/>
        <v>0</v>
      </c>
      <c r="G88" s="301">
        <f t="shared" si="13"/>
        <v>0</v>
      </c>
      <c r="H88" s="301">
        <f t="shared" si="13"/>
        <v>0</v>
      </c>
    </row>
    <row r="89" spans="1:12">
      <c r="A89" s="95">
        <f t="shared" si="5"/>
        <v>0</v>
      </c>
      <c r="B89" s="301">
        <f t="shared" si="6"/>
        <v>0</v>
      </c>
      <c r="C89" s="301">
        <f t="shared" si="13"/>
        <v>0</v>
      </c>
      <c r="D89" s="301">
        <f t="shared" si="13"/>
        <v>0</v>
      </c>
      <c r="E89" s="301">
        <f t="shared" si="13"/>
        <v>0</v>
      </c>
      <c r="F89" s="301">
        <f t="shared" si="13"/>
        <v>0</v>
      </c>
      <c r="G89" s="301">
        <f t="shared" si="13"/>
        <v>0</v>
      </c>
      <c r="H89" s="301">
        <f t="shared" si="13"/>
        <v>0</v>
      </c>
    </row>
    <row r="90" spans="1:12">
      <c r="A90" s="95"/>
      <c r="B90" s="301"/>
      <c r="C90" s="301"/>
      <c r="D90" s="301"/>
      <c r="E90" s="301"/>
      <c r="F90" s="301"/>
      <c r="G90" s="301"/>
      <c r="H90" s="301"/>
      <c r="J90" s="323"/>
      <c r="K90" s="323"/>
      <c r="L90" s="323"/>
    </row>
    <row r="91" spans="1:12">
      <c r="A91" s="95" t="str">
        <f t="shared" ref="A91:A109" si="14">A34</f>
        <v>Fruit  &amp; Vegetables Crop Production Details</v>
      </c>
      <c r="B91" s="301"/>
      <c r="C91" s="301"/>
      <c r="D91" s="301"/>
      <c r="E91" s="301"/>
      <c r="F91" s="301"/>
      <c r="G91" s="301"/>
      <c r="H91" s="301"/>
      <c r="J91" s="323"/>
      <c r="K91" s="323"/>
      <c r="L91" s="323"/>
    </row>
    <row r="92" spans="1:12">
      <c r="A92" s="95" t="str">
        <f t="shared" si="14"/>
        <v>Onion</v>
      </c>
      <c r="B92" s="301">
        <f t="shared" ref="B92:H101" si="15">B35</f>
        <v>0</v>
      </c>
      <c r="C92" s="301">
        <f t="shared" si="15"/>
        <v>0</v>
      </c>
      <c r="D92" s="301">
        <f t="shared" si="15"/>
        <v>0</v>
      </c>
      <c r="E92" s="301">
        <f t="shared" si="15"/>
        <v>0</v>
      </c>
      <c r="F92" s="301">
        <f t="shared" si="15"/>
        <v>0</v>
      </c>
      <c r="G92" s="301">
        <f t="shared" si="15"/>
        <v>0</v>
      </c>
      <c r="H92" s="301">
        <f t="shared" si="15"/>
        <v>0</v>
      </c>
      <c r="J92" s="323"/>
      <c r="K92" s="323"/>
      <c r="L92" s="323"/>
    </row>
    <row r="93" spans="1:12">
      <c r="A93" s="95" t="str">
        <f t="shared" si="14"/>
        <v>Tomato</v>
      </c>
      <c r="B93" s="301">
        <f t="shared" si="15"/>
        <v>0</v>
      </c>
      <c r="C93" s="301">
        <f t="shared" si="15"/>
        <v>0</v>
      </c>
      <c r="D93" s="301">
        <f t="shared" si="15"/>
        <v>0</v>
      </c>
      <c r="E93" s="301">
        <f t="shared" si="15"/>
        <v>0</v>
      </c>
      <c r="F93" s="301">
        <f t="shared" si="15"/>
        <v>0</v>
      </c>
      <c r="G93" s="301">
        <f t="shared" si="15"/>
        <v>0</v>
      </c>
      <c r="H93" s="301">
        <f t="shared" si="15"/>
        <v>0</v>
      </c>
      <c r="J93" s="323"/>
      <c r="K93" s="323"/>
      <c r="L93" s="323"/>
    </row>
    <row r="94" spans="1:12">
      <c r="A94" s="95" t="str">
        <f t="shared" si="14"/>
        <v>Okra</v>
      </c>
      <c r="B94" s="301">
        <f t="shared" si="15"/>
        <v>0</v>
      </c>
      <c r="C94" s="301">
        <f t="shared" si="15"/>
        <v>0</v>
      </c>
      <c r="D94" s="301">
        <f t="shared" si="15"/>
        <v>0</v>
      </c>
      <c r="E94" s="301">
        <f t="shared" si="15"/>
        <v>0</v>
      </c>
      <c r="F94" s="301">
        <f t="shared" si="15"/>
        <v>0</v>
      </c>
      <c r="G94" s="301">
        <f t="shared" si="15"/>
        <v>0</v>
      </c>
      <c r="H94" s="301">
        <f t="shared" si="15"/>
        <v>0</v>
      </c>
      <c r="J94" s="323"/>
      <c r="K94" s="323"/>
      <c r="L94" s="323"/>
    </row>
    <row r="95" spans="1:12">
      <c r="A95" s="95" t="str">
        <f t="shared" si="14"/>
        <v>Chilli</v>
      </c>
      <c r="B95" s="301">
        <f t="shared" si="15"/>
        <v>0</v>
      </c>
      <c r="C95" s="301">
        <f t="shared" si="15"/>
        <v>0</v>
      </c>
      <c r="D95" s="301">
        <f t="shared" si="15"/>
        <v>0</v>
      </c>
      <c r="E95" s="301">
        <f t="shared" si="15"/>
        <v>0</v>
      </c>
      <c r="F95" s="301">
        <f t="shared" si="15"/>
        <v>0</v>
      </c>
      <c r="G95" s="301">
        <f t="shared" si="15"/>
        <v>0</v>
      </c>
      <c r="H95" s="301">
        <f t="shared" si="15"/>
        <v>0</v>
      </c>
      <c r="J95" s="323"/>
      <c r="K95" s="323"/>
      <c r="L95" s="323"/>
    </row>
    <row r="96" spans="1:12">
      <c r="A96" s="95" t="str">
        <f t="shared" si="14"/>
        <v>Potato</v>
      </c>
      <c r="B96" s="301">
        <f t="shared" si="15"/>
        <v>0</v>
      </c>
      <c r="C96" s="301">
        <f t="shared" si="15"/>
        <v>0</v>
      </c>
      <c r="D96" s="301">
        <f t="shared" si="15"/>
        <v>0</v>
      </c>
      <c r="E96" s="301">
        <f t="shared" si="15"/>
        <v>0</v>
      </c>
      <c r="F96" s="301">
        <f t="shared" si="15"/>
        <v>0</v>
      </c>
      <c r="G96" s="301">
        <f t="shared" si="15"/>
        <v>0</v>
      </c>
      <c r="H96" s="301">
        <f t="shared" si="15"/>
        <v>0</v>
      </c>
      <c r="J96" s="323"/>
      <c r="K96" s="323"/>
      <c r="L96" s="323"/>
    </row>
    <row r="97" spans="1:12">
      <c r="A97" s="95">
        <f t="shared" si="14"/>
        <v>0</v>
      </c>
      <c r="B97" s="301">
        <f t="shared" si="15"/>
        <v>0</v>
      </c>
      <c r="C97" s="301">
        <f t="shared" si="15"/>
        <v>0</v>
      </c>
      <c r="D97" s="301">
        <f t="shared" si="15"/>
        <v>0</v>
      </c>
      <c r="E97" s="301">
        <f t="shared" si="15"/>
        <v>0</v>
      </c>
      <c r="F97" s="301">
        <f t="shared" si="15"/>
        <v>0</v>
      </c>
      <c r="G97" s="301">
        <f t="shared" si="15"/>
        <v>0</v>
      </c>
      <c r="H97" s="301">
        <f t="shared" si="15"/>
        <v>0</v>
      </c>
      <c r="J97" s="323"/>
      <c r="K97" s="323"/>
      <c r="L97" s="323"/>
    </row>
    <row r="98" spans="1:12">
      <c r="A98" s="95">
        <f t="shared" si="14"/>
        <v>0</v>
      </c>
      <c r="B98" s="301">
        <f t="shared" si="15"/>
        <v>0</v>
      </c>
      <c r="C98" s="301">
        <f t="shared" si="15"/>
        <v>0</v>
      </c>
      <c r="D98" s="301">
        <f t="shared" si="15"/>
        <v>0</v>
      </c>
      <c r="E98" s="301">
        <f t="shared" si="15"/>
        <v>0</v>
      </c>
      <c r="F98" s="301">
        <f t="shared" si="15"/>
        <v>0</v>
      </c>
      <c r="G98" s="301">
        <f t="shared" si="15"/>
        <v>0</v>
      </c>
      <c r="H98" s="301">
        <f t="shared" si="15"/>
        <v>0</v>
      </c>
      <c r="J98" s="323"/>
      <c r="K98" s="323"/>
      <c r="L98" s="323"/>
    </row>
    <row r="99" spans="1:12">
      <c r="A99" s="95">
        <f t="shared" si="14"/>
        <v>0</v>
      </c>
      <c r="B99" s="301">
        <f t="shared" si="15"/>
        <v>0</v>
      </c>
      <c r="C99" s="301">
        <f t="shared" si="15"/>
        <v>0</v>
      </c>
      <c r="D99" s="301">
        <f t="shared" si="15"/>
        <v>0</v>
      </c>
      <c r="E99" s="301">
        <f t="shared" si="15"/>
        <v>0</v>
      </c>
      <c r="F99" s="301">
        <f t="shared" si="15"/>
        <v>0</v>
      </c>
      <c r="G99" s="301">
        <f t="shared" si="15"/>
        <v>0</v>
      </c>
      <c r="H99" s="301">
        <f t="shared" si="15"/>
        <v>0</v>
      </c>
      <c r="J99" s="323"/>
      <c r="K99" s="323"/>
      <c r="L99" s="323"/>
    </row>
    <row r="100" spans="1:12">
      <c r="A100" s="95">
        <f t="shared" si="14"/>
        <v>0</v>
      </c>
      <c r="B100" s="301">
        <f t="shared" si="15"/>
        <v>0</v>
      </c>
      <c r="C100" s="301">
        <f t="shared" si="15"/>
        <v>0</v>
      </c>
      <c r="D100" s="301">
        <f t="shared" si="15"/>
        <v>0</v>
      </c>
      <c r="E100" s="301">
        <f t="shared" si="15"/>
        <v>0</v>
      </c>
      <c r="F100" s="301">
        <f t="shared" si="15"/>
        <v>0</v>
      </c>
      <c r="G100" s="301">
        <f t="shared" si="15"/>
        <v>0</v>
      </c>
      <c r="H100" s="301">
        <f t="shared" si="15"/>
        <v>0</v>
      </c>
      <c r="J100" s="323"/>
      <c r="K100" s="323"/>
      <c r="L100" s="323"/>
    </row>
    <row r="101" spans="1:12">
      <c r="A101" s="95" t="str">
        <f t="shared" si="14"/>
        <v>Onion</v>
      </c>
      <c r="B101" s="301">
        <f t="shared" si="15"/>
        <v>0</v>
      </c>
      <c r="C101" s="301">
        <f t="shared" si="15"/>
        <v>0</v>
      </c>
      <c r="D101" s="301">
        <f t="shared" si="15"/>
        <v>0</v>
      </c>
      <c r="E101" s="301">
        <f t="shared" si="15"/>
        <v>0</v>
      </c>
      <c r="F101" s="301">
        <f t="shared" si="15"/>
        <v>0</v>
      </c>
      <c r="G101" s="301">
        <f t="shared" si="15"/>
        <v>0</v>
      </c>
      <c r="H101" s="301">
        <f t="shared" si="15"/>
        <v>0</v>
      </c>
      <c r="J101" s="323"/>
      <c r="K101" s="323"/>
      <c r="L101" s="323"/>
    </row>
    <row r="102" spans="1:12">
      <c r="A102" s="95" t="str">
        <f t="shared" si="14"/>
        <v>Tomato</v>
      </c>
      <c r="B102" s="301">
        <f t="shared" ref="B102:H109" si="16">B45</f>
        <v>0</v>
      </c>
      <c r="C102" s="301">
        <f t="shared" si="16"/>
        <v>0</v>
      </c>
      <c r="D102" s="301">
        <f t="shared" si="16"/>
        <v>0</v>
      </c>
      <c r="E102" s="301">
        <f t="shared" si="16"/>
        <v>0</v>
      </c>
      <c r="F102" s="301">
        <f t="shared" si="16"/>
        <v>0</v>
      </c>
      <c r="G102" s="301">
        <f t="shared" si="16"/>
        <v>0</v>
      </c>
      <c r="H102" s="301">
        <f t="shared" si="16"/>
        <v>0</v>
      </c>
      <c r="J102" s="323"/>
      <c r="K102" s="323"/>
      <c r="L102" s="323"/>
    </row>
    <row r="103" spans="1:12">
      <c r="A103" s="95" t="str">
        <f t="shared" si="14"/>
        <v>Okra</v>
      </c>
      <c r="B103" s="301">
        <f t="shared" si="16"/>
        <v>0</v>
      </c>
      <c r="C103" s="301">
        <f t="shared" si="16"/>
        <v>0</v>
      </c>
      <c r="D103" s="301">
        <f t="shared" si="16"/>
        <v>0</v>
      </c>
      <c r="E103" s="301">
        <f t="shared" si="16"/>
        <v>0</v>
      </c>
      <c r="F103" s="301">
        <f t="shared" si="16"/>
        <v>0</v>
      </c>
      <c r="G103" s="301">
        <f t="shared" si="16"/>
        <v>0</v>
      </c>
      <c r="H103" s="301">
        <f t="shared" si="16"/>
        <v>0</v>
      </c>
      <c r="J103" s="323"/>
      <c r="K103" s="323"/>
      <c r="L103" s="323"/>
    </row>
    <row r="104" spans="1:12">
      <c r="A104" s="95" t="str">
        <f t="shared" si="14"/>
        <v>Chilli</v>
      </c>
      <c r="B104" s="301">
        <f t="shared" si="16"/>
        <v>0</v>
      </c>
      <c r="C104" s="301">
        <f t="shared" si="16"/>
        <v>0</v>
      </c>
      <c r="D104" s="301">
        <f t="shared" si="16"/>
        <v>0</v>
      </c>
      <c r="E104" s="301">
        <f t="shared" si="16"/>
        <v>0</v>
      </c>
      <c r="F104" s="301">
        <f t="shared" si="16"/>
        <v>0</v>
      </c>
      <c r="G104" s="301">
        <f t="shared" si="16"/>
        <v>0</v>
      </c>
      <c r="H104" s="301">
        <f t="shared" si="16"/>
        <v>0</v>
      </c>
      <c r="J104" s="323"/>
      <c r="K104" s="323"/>
      <c r="L104" s="323"/>
    </row>
    <row r="105" spans="1:12">
      <c r="A105" s="95" t="str">
        <f t="shared" si="14"/>
        <v>Brinjal</v>
      </c>
      <c r="B105" s="301">
        <f t="shared" si="16"/>
        <v>0</v>
      </c>
      <c r="C105" s="301">
        <f t="shared" si="16"/>
        <v>0</v>
      </c>
      <c r="D105" s="301">
        <f t="shared" si="16"/>
        <v>0</v>
      </c>
      <c r="E105" s="301">
        <f t="shared" si="16"/>
        <v>0</v>
      </c>
      <c r="F105" s="301">
        <f t="shared" si="16"/>
        <v>0</v>
      </c>
      <c r="G105" s="301">
        <f t="shared" si="16"/>
        <v>0</v>
      </c>
      <c r="H105" s="301">
        <f t="shared" si="16"/>
        <v>0</v>
      </c>
      <c r="J105" s="323"/>
      <c r="K105" s="323"/>
      <c r="L105" s="323"/>
    </row>
    <row r="106" spans="1:12">
      <c r="A106" s="95">
        <f t="shared" si="14"/>
        <v>0</v>
      </c>
      <c r="B106" s="301">
        <f t="shared" si="16"/>
        <v>0</v>
      </c>
      <c r="C106" s="301">
        <f t="shared" si="16"/>
        <v>0</v>
      </c>
      <c r="D106" s="301">
        <f t="shared" si="16"/>
        <v>0</v>
      </c>
      <c r="E106" s="301">
        <f t="shared" si="16"/>
        <v>0</v>
      </c>
      <c r="F106" s="301">
        <f t="shared" si="16"/>
        <v>0</v>
      </c>
      <c r="G106" s="301">
        <f t="shared" si="16"/>
        <v>0</v>
      </c>
      <c r="H106" s="301">
        <f t="shared" si="16"/>
        <v>0</v>
      </c>
      <c r="J106" s="323"/>
      <c r="K106" s="323"/>
      <c r="L106" s="323"/>
    </row>
    <row r="107" spans="1:12">
      <c r="A107" s="95">
        <f t="shared" si="14"/>
        <v>0</v>
      </c>
      <c r="B107" s="301">
        <f t="shared" si="16"/>
        <v>0</v>
      </c>
      <c r="C107" s="301">
        <f t="shared" si="16"/>
        <v>0</v>
      </c>
      <c r="D107" s="301">
        <f t="shared" si="16"/>
        <v>0</v>
      </c>
      <c r="E107" s="301">
        <f t="shared" si="16"/>
        <v>0</v>
      </c>
      <c r="F107" s="301">
        <f t="shared" si="16"/>
        <v>0</v>
      </c>
      <c r="G107" s="301">
        <f t="shared" si="16"/>
        <v>0</v>
      </c>
      <c r="H107" s="301">
        <f t="shared" si="16"/>
        <v>0</v>
      </c>
      <c r="J107" s="323"/>
      <c r="K107" s="323"/>
      <c r="L107" s="323"/>
    </row>
    <row r="108" spans="1:12">
      <c r="A108" s="95">
        <f t="shared" si="14"/>
        <v>0</v>
      </c>
      <c r="B108" s="301">
        <f t="shared" si="16"/>
        <v>0</v>
      </c>
      <c r="C108" s="301">
        <f t="shared" si="16"/>
        <v>0</v>
      </c>
      <c r="D108" s="301">
        <f t="shared" si="16"/>
        <v>0</v>
      </c>
      <c r="E108" s="301">
        <f t="shared" si="16"/>
        <v>0</v>
      </c>
      <c r="F108" s="301">
        <f t="shared" si="16"/>
        <v>0</v>
      </c>
      <c r="G108" s="301">
        <f t="shared" si="16"/>
        <v>0</v>
      </c>
      <c r="H108" s="301">
        <f t="shared" si="16"/>
        <v>0</v>
      </c>
      <c r="J108" s="323"/>
      <c r="K108" s="323"/>
      <c r="L108" s="323"/>
    </row>
    <row r="109" spans="1:12">
      <c r="A109" s="95">
        <f t="shared" si="14"/>
        <v>0</v>
      </c>
      <c r="B109" s="301">
        <f t="shared" si="16"/>
        <v>0</v>
      </c>
      <c r="C109" s="301">
        <f t="shared" si="16"/>
        <v>0</v>
      </c>
      <c r="D109" s="301">
        <f t="shared" si="16"/>
        <v>0</v>
      </c>
      <c r="E109" s="301">
        <f t="shared" si="16"/>
        <v>0</v>
      </c>
      <c r="F109" s="301">
        <f t="shared" si="16"/>
        <v>0</v>
      </c>
      <c r="G109" s="301">
        <f t="shared" si="16"/>
        <v>0</v>
      </c>
      <c r="H109" s="301">
        <f t="shared" si="16"/>
        <v>0</v>
      </c>
      <c r="J109" s="323"/>
      <c r="K109" s="323"/>
      <c r="L109" s="323"/>
    </row>
    <row r="110" spans="1:12">
      <c r="A110" s="95">
        <f t="shared" ref="A110:A113" si="17">A53</f>
        <v>0</v>
      </c>
      <c r="B110" s="301"/>
      <c r="C110" s="301"/>
      <c r="D110" s="301"/>
      <c r="E110" s="301"/>
      <c r="F110" s="301"/>
      <c r="G110" s="301"/>
      <c r="H110" s="301"/>
      <c r="J110" s="323"/>
      <c r="K110" s="323"/>
      <c r="L110" s="323"/>
    </row>
    <row r="111" spans="1:12">
      <c r="A111" s="95">
        <f t="shared" si="17"/>
        <v>0</v>
      </c>
      <c r="B111" s="301"/>
      <c r="C111" s="301"/>
      <c r="D111" s="301"/>
      <c r="E111" s="301"/>
      <c r="F111" s="301"/>
      <c r="G111" s="301"/>
      <c r="H111" s="301"/>
      <c r="J111" s="323"/>
      <c r="K111" s="323"/>
      <c r="L111" s="323"/>
    </row>
    <row r="112" spans="1:12">
      <c r="A112" s="95">
        <f t="shared" si="17"/>
        <v>0</v>
      </c>
      <c r="B112" s="301"/>
      <c r="C112" s="301"/>
      <c r="D112" s="301"/>
      <c r="E112" s="301"/>
      <c r="F112" s="301"/>
      <c r="G112" s="301"/>
      <c r="H112" s="301"/>
      <c r="J112" s="323"/>
      <c r="K112" s="323"/>
      <c r="L112" s="323"/>
    </row>
    <row r="113" spans="1:12">
      <c r="A113" s="95" t="str">
        <f t="shared" si="17"/>
        <v>Pomegranate</v>
      </c>
      <c r="B113" s="301">
        <f t="shared" ref="B113:H116" si="18">B56</f>
        <v>0</v>
      </c>
      <c r="C113" s="301">
        <f t="shared" si="18"/>
        <v>0</v>
      </c>
      <c r="D113" s="301">
        <f t="shared" si="18"/>
        <v>0</v>
      </c>
      <c r="E113" s="301">
        <f t="shared" si="18"/>
        <v>0</v>
      </c>
      <c r="F113" s="301">
        <f t="shared" si="18"/>
        <v>0</v>
      </c>
      <c r="G113" s="301">
        <f t="shared" si="18"/>
        <v>0</v>
      </c>
      <c r="H113" s="301">
        <f t="shared" si="18"/>
        <v>0</v>
      </c>
      <c r="J113" s="323"/>
      <c r="K113" s="323"/>
      <c r="L113" s="323"/>
    </row>
    <row r="114" spans="1:12">
      <c r="A114" s="95" t="str">
        <f>A57</f>
        <v>Custard Apple</v>
      </c>
      <c r="B114" s="301">
        <f t="shared" si="18"/>
        <v>0</v>
      </c>
      <c r="C114" s="301">
        <f t="shared" si="18"/>
        <v>0</v>
      </c>
      <c r="D114" s="301">
        <f t="shared" si="18"/>
        <v>0</v>
      </c>
      <c r="E114" s="301">
        <f t="shared" si="18"/>
        <v>0</v>
      </c>
      <c r="F114" s="301">
        <f t="shared" si="18"/>
        <v>0</v>
      </c>
      <c r="G114" s="301">
        <f t="shared" si="18"/>
        <v>0</v>
      </c>
      <c r="H114" s="301">
        <f t="shared" si="18"/>
        <v>0</v>
      </c>
      <c r="J114" s="323"/>
      <c r="K114" s="323"/>
      <c r="L114" s="323"/>
    </row>
    <row r="115" spans="1:12">
      <c r="A115" s="95" t="str">
        <f>A58</f>
        <v>Guava</v>
      </c>
      <c r="B115" s="301">
        <f t="shared" si="18"/>
        <v>0</v>
      </c>
      <c r="C115" s="301">
        <f t="shared" si="18"/>
        <v>0</v>
      </c>
      <c r="D115" s="301">
        <f t="shared" si="18"/>
        <v>0</v>
      </c>
      <c r="E115" s="301">
        <f t="shared" si="18"/>
        <v>0</v>
      </c>
      <c r="F115" s="301">
        <f t="shared" si="18"/>
        <v>0</v>
      </c>
      <c r="G115" s="301">
        <f t="shared" si="18"/>
        <v>0</v>
      </c>
      <c r="H115" s="301">
        <f t="shared" si="18"/>
        <v>0</v>
      </c>
      <c r="J115" s="323"/>
      <c r="K115" s="323"/>
      <c r="L115" s="323"/>
    </row>
    <row r="116" spans="1:12">
      <c r="A116" s="95" t="str">
        <f>A59</f>
        <v>Citrus</v>
      </c>
      <c r="B116" s="301">
        <f t="shared" si="18"/>
        <v>0</v>
      </c>
      <c r="C116" s="301">
        <f t="shared" si="18"/>
        <v>0</v>
      </c>
      <c r="D116" s="301">
        <f t="shared" si="18"/>
        <v>0</v>
      </c>
      <c r="E116" s="301">
        <f t="shared" si="18"/>
        <v>0</v>
      </c>
      <c r="F116" s="301">
        <f t="shared" si="18"/>
        <v>0</v>
      </c>
      <c r="G116" s="301">
        <f t="shared" si="18"/>
        <v>0</v>
      </c>
      <c r="H116" s="301">
        <f t="shared" si="18"/>
        <v>0</v>
      </c>
      <c r="J116" s="323"/>
      <c r="K116" s="323"/>
      <c r="L116" s="323"/>
    </row>
    <row r="117" spans="1:12">
      <c r="A117" s="95"/>
      <c r="B117" s="301"/>
      <c r="C117" s="301"/>
      <c r="D117" s="301"/>
      <c r="E117" s="301"/>
      <c r="F117" s="301"/>
      <c r="G117" s="301"/>
      <c r="H117" s="301"/>
      <c r="J117" s="323"/>
      <c r="K117" s="323"/>
      <c r="L117" s="323"/>
    </row>
    <row r="118" spans="1:12">
      <c r="A118" s="95"/>
      <c r="B118" s="301"/>
      <c r="C118" s="301"/>
      <c r="D118" s="301"/>
      <c r="E118" s="301"/>
      <c r="F118" s="301"/>
      <c r="G118" s="301"/>
      <c r="H118" s="301"/>
      <c r="J118" s="323"/>
      <c r="K118" s="323"/>
      <c r="L118" s="323"/>
    </row>
    <row r="119" spans="1:12">
      <c r="A119" s="101" t="s">
        <v>140</v>
      </c>
      <c r="B119" s="95"/>
      <c r="C119" s="95"/>
      <c r="D119" s="95"/>
      <c r="E119" s="95"/>
      <c r="F119" s="95"/>
      <c r="G119" s="95"/>
      <c r="H119" s="95"/>
    </row>
    <row r="120" spans="1:12">
      <c r="A120" s="99" t="str">
        <f t="shared" ref="A120:A141" si="19">A68</f>
        <v>Soybean</v>
      </c>
      <c r="B120" s="302">
        <f t="shared" ref="B120:H129" si="20">B68-(B68*$G$6)</f>
        <v>1218.9288690000001</v>
      </c>
      <c r="C120" s="302">
        <f t="shared" si="20"/>
        <v>1523.6610862499999</v>
      </c>
      <c r="D120" s="302">
        <f t="shared" si="20"/>
        <v>1828.3933035</v>
      </c>
      <c r="E120" s="302">
        <f t="shared" si="20"/>
        <v>2133.1255207499999</v>
      </c>
      <c r="F120" s="302">
        <f t="shared" si="20"/>
        <v>2437.8577380000002</v>
      </c>
      <c r="G120" s="302">
        <f t="shared" si="20"/>
        <v>2742.5899552500005</v>
      </c>
      <c r="H120" s="302">
        <f t="shared" si="20"/>
        <v>3047.3221724999999</v>
      </c>
    </row>
    <row r="121" spans="1:12">
      <c r="A121" s="99" t="str">
        <f t="shared" si="19"/>
        <v>Red Gram/Tur</v>
      </c>
      <c r="B121" s="302">
        <f t="shared" si="20"/>
        <v>0</v>
      </c>
      <c r="C121" s="302">
        <f t="shared" si="20"/>
        <v>0</v>
      </c>
      <c r="D121" s="302">
        <f t="shared" si="20"/>
        <v>0</v>
      </c>
      <c r="E121" s="302">
        <f t="shared" si="20"/>
        <v>0</v>
      </c>
      <c r="F121" s="302">
        <f t="shared" si="20"/>
        <v>0</v>
      </c>
      <c r="G121" s="302">
        <f t="shared" si="20"/>
        <v>0</v>
      </c>
      <c r="H121" s="302">
        <f t="shared" si="20"/>
        <v>0</v>
      </c>
    </row>
    <row r="122" spans="1:12">
      <c r="A122" s="99" t="str">
        <f t="shared" si="19"/>
        <v>Paddy/Rice</v>
      </c>
      <c r="B122" s="302">
        <f t="shared" si="20"/>
        <v>0</v>
      </c>
      <c r="C122" s="302">
        <f t="shared" si="20"/>
        <v>0</v>
      </c>
      <c r="D122" s="302">
        <f t="shared" si="20"/>
        <v>0</v>
      </c>
      <c r="E122" s="302">
        <f t="shared" si="20"/>
        <v>0</v>
      </c>
      <c r="F122" s="302">
        <f t="shared" si="20"/>
        <v>0</v>
      </c>
      <c r="G122" s="302">
        <f t="shared" si="20"/>
        <v>0</v>
      </c>
      <c r="H122" s="302">
        <f t="shared" si="20"/>
        <v>0</v>
      </c>
    </row>
    <row r="123" spans="1:12">
      <c r="A123" s="99" t="str">
        <f t="shared" si="19"/>
        <v>Green Gram/ Moong</v>
      </c>
      <c r="B123" s="302">
        <f t="shared" si="20"/>
        <v>440.09747586000009</v>
      </c>
      <c r="C123" s="302">
        <f t="shared" si="20"/>
        <v>550.12184482500015</v>
      </c>
      <c r="D123" s="302">
        <f t="shared" si="20"/>
        <v>660.14621379000005</v>
      </c>
      <c r="E123" s="302">
        <f t="shared" si="20"/>
        <v>770.17058275500017</v>
      </c>
      <c r="F123" s="302">
        <f t="shared" si="20"/>
        <v>880.19495172000006</v>
      </c>
      <c r="G123" s="302">
        <f t="shared" si="20"/>
        <v>990.21932068500018</v>
      </c>
      <c r="H123" s="302">
        <f t="shared" si="20"/>
        <v>1100.2436896500001</v>
      </c>
    </row>
    <row r="124" spans="1:12">
      <c r="A124" s="99" t="str">
        <f t="shared" si="19"/>
        <v>Maize</v>
      </c>
      <c r="B124" s="302">
        <f t="shared" si="20"/>
        <v>3421.5547200000001</v>
      </c>
      <c r="C124" s="302">
        <f t="shared" si="20"/>
        <v>4276.9434000000001</v>
      </c>
      <c r="D124" s="302">
        <f t="shared" si="20"/>
        <v>5132.3320800000001</v>
      </c>
      <c r="E124" s="302">
        <f t="shared" si="20"/>
        <v>5987.7207600000002</v>
      </c>
      <c r="F124" s="302">
        <f t="shared" si="20"/>
        <v>6843.1094399999993</v>
      </c>
      <c r="G124" s="302">
        <f t="shared" si="20"/>
        <v>7698.4981199999993</v>
      </c>
      <c r="H124" s="302">
        <f t="shared" si="20"/>
        <v>8553.8867999999984</v>
      </c>
    </row>
    <row r="125" spans="1:12">
      <c r="A125" s="99" t="str">
        <f t="shared" si="19"/>
        <v>Black Gram/Udid</v>
      </c>
      <c r="B125" s="302">
        <f t="shared" si="20"/>
        <v>269.44743420000003</v>
      </c>
      <c r="C125" s="302">
        <f t="shared" si="20"/>
        <v>336.80929275</v>
      </c>
      <c r="D125" s="302">
        <f t="shared" si="20"/>
        <v>404.17115129999996</v>
      </c>
      <c r="E125" s="302">
        <f t="shared" si="20"/>
        <v>471.53300984999998</v>
      </c>
      <c r="F125" s="302">
        <f t="shared" si="20"/>
        <v>538.89486839999995</v>
      </c>
      <c r="G125" s="302">
        <f t="shared" si="20"/>
        <v>606.25672694999992</v>
      </c>
      <c r="H125" s="302">
        <f t="shared" si="20"/>
        <v>673.61858549999988</v>
      </c>
    </row>
    <row r="126" spans="1:12">
      <c r="A126" s="99" t="str">
        <f t="shared" si="19"/>
        <v>Bajra</v>
      </c>
      <c r="B126" s="302">
        <f t="shared" si="20"/>
        <v>0</v>
      </c>
      <c r="C126" s="302">
        <f t="shared" si="20"/>
        <v>0</v>
      </c>
      <c r="D126" s="302">
        <f t="shared" si="20"/>
        <v>0</v>
      </c>
      <c r="E126" s="302">
        <f t="shared" si="20"/>
        <v>0</v>
      </c>
      <c r="F126" s="302">
        <f t="shared" si="20"/>
        <v>0</v>
      </c>
      <c r="G126" s="302">
        <f t="shared" si="20"/>
        <v>0</v>
      </c>
      <c r="H126" s="302">
        <f t="shared" si="20"/>
        <v>0</v>
      </c>
    </row>
    <row r="127" spans="1:12">
      <c r="A127" s="99" t="str">
        <f t="shared" si="19"/>
        <v>Jawar</v>
      </c>
      <c r="B127" s="302">
        <f t="shared" si="20"/>
        <v>0</v>
      </c>
      <c r="C127" s="302">
        <f t="shared" si="20"/>
        <v>0</v>
      </c>
      <c r="D127" s="302">
        <f t="shared" si="20"/>
        <v>0</v>
      </c>
      <c r="E127" s="302">
        <f t="shared" si="20"/>
        <v>0</v>
      </c>
      <c r="F127" s="302">
        <f t="shared" si="20"/>
        <v>0</v>
      </c>
      <c r="G127" s="302">
        <f t="shared" si="20"/>
        <v>0</v>
      </c>
      <c r="H127" s="302">
        <f t="shared" si="20"/>
        <v>0</v>
      </c>
    </row>
    <row r="128" spans="1:12">
      <c r="A128" s="99" t="str">
        <f t="shared" si="19"/>
        <v>Sunflower</v>
      </c>
      <c r="B128" s="302">
        <f t="shared" si="20"/>
        <v>0</v>
      </c>
      <c r="C128" s="302">
        <f t="shared" si="20"/>
        <v>0</v>
      </c>
      <c r="D128" s="302">
        <f t="shared" si="20"/>
        <v>0</v>
      </c>
      <c r="E128" s="302">
        <f t="shared" si="20"/>
        <v>0</v>
      </c>
      <c r="F128" s="302">
        <f t="shared" si="20"/>
        <v>0</v>
      </c>
      <c r="G128" s="302">
        <f t="shared" si="20"/>
        <v>0</v>
      </c>
      <c r="H128" s="302">
        <f t="shared" si="20"/>
        <v>0</v>
      </c>
    </row>
    <row r="129" spans="1:8">
      <c r="A129" s="99" t="str">
        <f t="shared" si="19"/>
        <v>Wheat</v>
      </c>
      <c r="B129" s="302">
        <f t="shared" si="20"/>
        <v>346.43241540000002</v>
      </c>
      <c r="C129" s="302">
        <f t="shared" si="20"/>
        <v>433.04051925000005</v>
      </c>
      <c r="D129" s="302">
        <f t="shared" si="20"/>
        <v>519.64862310000001</v>
      </c>
      <c r="E129" s="302">
        <f t="shared" si="20"/>
        <v>606.25672695000003</v>
      </c>
      <c r="F129" s="302">
        <f t="shared" si="20"/>
        <v>692.86483079999994</v>
      </c>
      <c r="G129" s="302">
        <f t="shared" si="20"/>
        <v>779.47293464999996</v>
      </c>
      <c r="H129" s="302">
        <f t="shared" si="20"/>
        <v>866.08103849999998</v>
      </c>
    </row>
    <row r="130" spans="1:8">
      <c r="A130" s="99" t="str">
        <f t="shared" si="19"/>
        <v>Bengal Gram/Channa</v>
      </c>
      <c r="B130" s="302">
        <f t="shared" ref="B130:H139" si="21">B78-(B78*$G$6)</f>
        <v>577.38735900000006</v>
      </c>
      <c r="C130" s="302">
        <f t="shared" si="21"/>
        <v>721.73419875000002</v>
      </c>
      <c r="D130" s="302">
        <f t="shared" si="21"/>
        <v>866.08103849999998</v>
      </c>
      <c r="E130" s="302">
        <f t="shared" si="21"/>
        <v>1010.4278782499999</v>
      </c>
      <c r="F130" s="302">
        <f t="shared" si="21"/>
        <v>1154.7747179999999</v>
      </c>
      <c r="G130" s="302">
        <f t="shared" si="21"/>
        <v>1299.12155775</v>
      </c>
      <c r="H130" s="302">
        <f t="shared" si="21"/>
        <v>1443.4683974999998</v>
      </c>
    </row>
    <row r="131" spans="1:8">
      <c r="A131" s="99" t="str">
        <f t="shared" si="19"/>
        <v>Jawar</v>
      </c>
      <c r="B131" s="302">
        <f t="shared" si="21"/>
        <v>0</v>
      </c>
      <c r="C131" s="302">
        <f t="shared" si="21"/>
        <v>0</v>
      </c>
      <c r="D131" s="302">
        <f t="shared" si="21"/>
        <v>0</v>
      </c>
      <c r="E131" s="302">
        <f t="shared" si="21"/>
        <v>0</v>
      </c>
      <c r="F131" s="302">
        <f t="shared" si="21"/>
        <v>0</v>
      </c>
      <c r="G131" s="302">
        <f t="shared" si="21"/>
        <v>0</v>
      </c>
      <c r="H131" s="302">
        <f t="shared" si="21"/>
        <v>0</v>
      </c>
    </row>
    <row r="132" spans="1:8">
      <c r="A132" s="99" t="str">
        <f t="shared" si="19"/>
        <v>Maize</v>
      </c>
      <c r="B132" s="302">
        <f t="shared" si="21"/>
        <v>513.23320799999999</v>
      </c>
      <c r="C132" s="302">
        <f t="shared" si="21"/>
        <v>641.5415099999999</v>
      </c>
      <c r="D132" s="302">
        <f t="shared" si="21"/>
        <v>769.84981199999982</v>
      </c>
      <c r="E132" s="302">
        <f t="shared" si="21"/>
        <v>898.15811399999984</v>
      </c>
      <c r="F132" s="302">
        <f t="shared" si="21"/>
        <v>1026.4664159999998</v>
      </c>
      <c r="G132" s="302">
        <f t="shared" si="21"/>
        <v>1154.7747179999997</v>
      </c>
      <c r="H132" s="302">
        <f t="shared" si="21"/>
        <v>1283.0830199999996</v>
      </c>
    </row>
    <row r="133" spans="1:8">
      <c r="A133" s="99" t="str">
        <f t="shared" si="19"/>
        <v>Safflower</v>
      </c>
      <c r="B133" s="302">
        <f t="shared" si="21"/>
        <v>0</v>
      </c>
      <c r="C133" s="302">
        <f t="shared" si="21"/>
        <v>0</v>
      </c>
      <c r="D133" s="302">
        <f t="shared" si="21"/>
        <v>0</v>
      </c>
      <c r="E133" s="302">
        <f t="shared" si="21"/>
        <v>0</v>
      </c>
      <c r="F133" s="302">
        <f t="shared" si="21"/>
        <v>0</v>
      </c>
      <c r="G133" s="302">
        <f t="shared" si="21"/>
        <v>0</v>
      </c>
      <c r="H133" s="302">
        <f t="shared" si="21"/>
        <v>0</v>
      </c>
    </row>
    <row r="134" spans="1:8">
      <c r="A134" s="99">
        <f t="shared" si="19"/>
        <v>0</v>
      </c>
      <c r="B134" s="302">
        <f t="shared" si="21"/>
        <v>0</v>
      </c>
      <c r="C134" s="302">
        <f t="shared" si="21"/>
        <v>0</v>
      </c>
      <c r="D134" s="302">
        <f t="shared" si="21"/>
        <v>0</v>
      </c>
      <c r="E134" s="302">
        <f t="shared" si="21"/>
        <v>0</v>
      </c>
      <c r="F134" s="302">
        <f t="shared" si="21"/>
        <v>0</v>
      </c>
      <c r="G134" s="302">
        <f t="shared" si="21"/>
        <v>0</v>
      </c>
      <c r="H134" s="302">
        <f t="shared" si="21"/>
        <v>0</v>
      </c>
    </row>
    <row r="135" spans="1:8">
      <c r="A135" s="99">
        <f t="shared" si="19"/>
        <v>0</v>
      </c>
      <c r="B135" s="302">
        <f t="shared" si="21"/>
        <v>0</v>
      </c>
      <c r="C135" s="302">
        <f t="shared" si="21"/>
        <v>0</v>
      </c>
      <c r="D135" s="302">
        <f t="shared" si="21"/>
        <v>0</v>
      </c>
      <c r="E135" s="302">
        <f t="shared" si="21"/>
        <v>0</v>
      </c>
      <c r="F135" s="302">
        <f t="shared" si="21"/>
        <v>0</v>
      </c>
      <c r="G135" s="302">
        <f t="shared" si="21"/>
        <v>0</v>
      </c>
      <c r="H135" s="302">
        <f t="shared" si="21"/>
        <v>0</v>
      </c>
    </row>
    <row r="136" spans="1:8">
      <c r="A136" s="99">
        <f t="shared" si="19"/>
        <v>0</v>
      </c>
      <c r="B136" s="302">
        <f t="shared" si="21"/>
        <v>0</v>
      </c>
      <c r="C136" s="302">
        <f t="shared" si="21"/>
        <v>0</v>
      </c>
      <c r="D136" s="302">
        <f t="shared" si="21"/>
        <v>0</v>
      </c>
      <c r="E136" s="302">
        <f t="shared" si="21"/>
        <v>0</v>
      </c>
      <c r="F136" s="302">
        <f t="shared" si="21"/>
        <v>0</v>
      </c>
      <c r="G136" s="302">
        <f t="shared" si="21"/>
        <v>0</v>
      </c>
      <c r="H136" s="302">
        <f t="shared" si="21"/>
        <v>0</v>
      </c>
    </row>
    <row r="137" spans="1:8">
      <c r="A137" s="99" t="str">
        <f t="shared" si="19"/>
        <v>Groundnut</v>
      </c>
      <c r="B137" s="302">
        <f t="shared" si="21"/>
        <v>0</v>
      </c>
      <c r="C137" s="302">
        <f t="shared" si="21"/>
        <v>0</v>
      </c>
      <c r="D137" s="302">
        <f t="shared" si="21"/>
        <v>0</v>
      </c>
      <c r="E137" s="302">
        <f t="shared" si="21"/>
        <v>0</v>
      </c>
      <c r="F137" s="302">
        <f t="shared" si="21"/>
        <v>0</v>
      </c>
      <c r="G137" s="302">
        <f t="shared" si="21"/>
        <v>0</v>
      </c>
      <c r="H137" s="302">
        <f t="shared" si="21"/>
        <v>0</v>
      </c>
    </row>
    <row r="138" spans="1:8">
      <c r="A138" s="99">
        <f t="shared" si="19"/>
        <v>0</v>
      </c>
      <c r="B138" s="302">
        <f t="shared" si="21"/>
        <v>0</v>
      </c>
      <c r="C138" s="302">
        <f t="shared" si="21"/>
        <v>0</v>
      </c>
      <c r="D138" s="302">
        <f t="shared" si="21"/>
        <v>0</v>
      </c>
      <c r="E138" s="302">
        <f t="shared" si="21"/>
        <v>0</v>
      </c>
      <c r="F138" s="302">
        <f t="shared" si="21"/>
        <v>0</v>
      </c>
      <c r="G138" s="302">
        <f t="shared" si="21"/>
        <v>0</v>
      </c>
      <c r="H138" s="302">
        <f t="shared" si="21"/>
        <v>0</v>
      </c>
    </row>
    <row r="139" spans="1:8">
      <c r="A139" s="99">
        <f t="shared" si="19"/>
        <v>0</v>
      </c>
      <c r="B139" s="302">
        <f t="shared" si="21"/>
        <v>0</v>
      </c>
      <c r="C139" s="302">
        <f t="shared" si="21"/>
        <v>0</v>
      </c>
      <c r="D139" s="302">
        <f t="shared" si="21"/>
        <v>0</v>
      </c>
      <c r="E139" s="302">
        <f t="shared" si="21"/>
        <v>0</v>
      </c>
      <c r="F139" s="302">
        <f t="shared" si="21"/>
        <v>0</v>
      </c>
      <c r="G139" s="302">
        <f t="shared" si="21"/>
        <v>0</v>
      </c>
      <c r="H139" s="302">
        <f t="shared" si="21"/>
        <v>0</v>
      </c>
    </row>
    <row r="140" spans="1:8">
      <c r="A140" s="99">
        <f t="shared" si="19"/>
        <v>0</v>
      </c>
      <c r="B140" s="302">
        <f t="shared" ref="B140:H141" si="22">B88-(B88*$G$6)</f>
        <v>0</v>
      </c>
      <c r="C140" s="302">
        <f t="shared" si="22"/>
        <v>0</v>
      </c>
      <c r="D140" s="302">
        <f t="shared" si="22"/>
        <v>0</v>
      </c>
      <c r="E140" s="302">
        <f t="shared" si="22"/>
        <v>0</v>
      </c>
      <c r="F140" s="302">
        <f t="shared" si="22"/>
        <v>0</v>
      </c>
      <c r="G140" s="302">
        <f t="shared" si="22"/>
        <v>0</v>
      </c>
      <c r="H140" s="302">
        <f t="shared" si="22"/>
        <v>0</v>
      </c>
    </row>
    <row r="141" spans="1:8">
      <c r="A141" s="99">
        <f t="shared" si="19"/>
        <v>0</v>
      </c>
      <c r="B141" s="302">
        <f t="shared" si="22"/>
        <v>0</v>
      </c>
      <c r="C141" s="302">
        <f t="shared" si="22"/>
        <v>0</v>
      </c>
      <c r="D141" s="302">
        <f t="shared" si="22"/>
        <v>0</v>
      </c>
      <c r="E141" s="302">
        <f t="shared" si="22"/>
        <v>0</v>
      </c>
      <c r="F141" s="302">
        <f t="shared" si="22"/>
        <v>0</v>
      </c>
      <c r="G141" s="302">
        <f t="shared" si="22"/>
        <v>0</v>
      </c>
      <c r="H141" s="302">
        <f t="shared" si="22"/>
        <v>0</v>
      </c>
    </row>
    <row r="142" spans="1:8">
      <c r="A142" s="99"/>
      <c r="B142" s="302"/>
      <c r="C142" s="302"/>
      <c r="D142" s="302"/>
      <c r="E142" s="302"/>
      <c r="F142" s="302"/>
      <c r="G142" s="302"/>
      <c r="H142" s="302"/>
    </row>
    <row r="143" spans="1:8">
      <c r="A143" s="101" t="str">
        <f t="shared" ref="A143:A161" si="23">A91</f>
        <v>Fruit  &amp; Vegetables Crop Production Details</v>
      </c>
      <c r="B143" s="302"/>
      <c r="C143" s="302"/>
      <c r="D143" s="302"/>
      <c r="E143" s="302"/>
      <c r="F143" s="302"/>
      <c r="G143" s="302"/>
      <c r="H143" s="302"/>
    </row>
    <row r="144" spans="1:8">
      <c r="A144" s="99" t="str">
        <f t="shared" si="23"/>
        <v>Onion</v>
      </c>
      <c r="B144" s="302">
        <f t="shared" ref="B144:H153" si="24">B92-(B92*$G$7)</f>
        <v>0</v>
      </c>
      <c r="C144" s="302">
        <f t="shared" si="24"/>
        <v>0</v>
      </c>
      <c r="D144" s="302">
        <f t="shared" si="24"/>
        <v>0</v>
      </c>
      <c r="E144" s="302">
        <f t="shared" si="24"/>
        <v>0</v>
      </c>
      <c r="F144" s="302">
        <f t="shared" si="24"/>
        <v>0</v>
      </c>
      <c r="G144" s="302">
        <f t="shared" si="24"/>
        <v>0</v>
      </c>
      <c r="H144" s="302">
        <f t="shared" si="24"/>
        <v>0</v>
      </c>
    </row>
    <row r="145" spans="1:8">
      <c r="A145" s="99" t="str">
        <f t="shared" si="23"/>
        <v>Tomato</v>
      </c>
      <c r="B145" s="302">
        <f t="shared" si="24"/>
        <v>0</v>
      </c>
      <c r="C145" s="302">
        <f t="shared" si="24"/>
        <v>0</v>
      </c>
      <c r="D145" s="302">
        <f t="shared" si="24"/>
        <v>0</v>
      </c>
      <c r="E145" s="302">
        <f t="shared" si="24"/>
        <v>0</v>
      </c>
      <c r="F145" s="302">
        <f t="shared" si="24"/>
        <v>0</v>
      </c>
      <c r="G145" s="302">
        <f t="shared" si="24"/>
        <v>0</v>
      </c>
      <c r="H145" s="302">
        <f t="shared" si="24"/>
        <v>0</v>
      </c>
    </row>
    <row r="146" spans="1:8">
      <c r="A146" s="99" t="str">
        <f t="shared" si="23"/>
        <v>Okra</v>
      </c>
      <c r="B146" s="302">
        <f t="shared" si="24"/>
        <v>0</v>
      </c>
      <c r="C146" s="302">
        <f t="shared" si="24"/>
        <v>0</v>
      </c>
      <c r="D146" s="302">
        <f t="shared" si="24"/>
        <v>0</v>
      </c>
      <c r="E146" s="302">
        <f t="shared" si="24"/>
        <v>0</v>
      </c>
      <c r="F146" s="302">
        <f t="shared" si="24"/>
        <v>0</v>
      </c>
      <c r="G146" s="302">
        <f t="shared" si="24"/>
        <v>0</v>
      </c>
      <c r="H146" s="302">
        <f t="shared" si="24"/>
        <v>0</v>
      </c>
    </row>
    <row r="147" spans="1:8">
      <c r="A147" s="99" t="str">
        <f t="shared" si="23"/>
        <v>Chilli</v>
      </c>
      <c r="B147" s="302">
        <f t="shared" si="24"/>
        <v>0</v>
      </c>
      <c r="C147" s="302">
        <f t="shared" si="24"/>
        <v>0</v>
      </c>
      <c r="D147" s="302">
        <f t="shared" si="24"/>
        <v>0</v>
      </c>
      <c r="E147" s="302">
        <f t="shared" si="24"/>
        <v>0</v>
      </c>
      <c r="F147" s="302">
        <f t="shared" si="24"/>
        <v>0</v>
      </c>
      <c r="G147" s="302">
        <f t="shared" si="24"/>
        <v>0</v>
      </c>
      <c r="H147" s="302">
        <f t="shared" si="24"/>
        <v>0</v>
      </c>
    </row>
    <row r="148" spans="1:8">
      <c r="A148" s="99" t="str">
        <f t="shared" si="23"/>
        <v>Potato</v>
      </c>
      <c r="B148" s="302">
        <f t="shared" si="24"/>
        <v>0</v>
      </c>
      <c r="C148" s="302">
        <f t="shared" si="24"/>
        <v>0</v>
      </c>
      <c r="D148" s="302">
        <f t="shared" si="24"/>
        <v>0</v>
      </c>
      <c r="E148" s="302">
        <f t="shared" si="24"/>
        <v>0</v>
      </c>
      <c r="F148" s="302">
        <f t="shared" si="24"/>
        <v>0</v>
      </c>
      <c r="G148" s="302">
        <f t="shared" si="24"/>
        <v>0</v>
      </c>
      <c r="H148" s="302">
        <f t="shared" si="24"/>
        <v>0</v>
      </c>
    </row>
    <row r="149" spans="1:8">
      <c r="A149" s="99">
        <f t="shared" si="23"/>
        <v>0</v>
      </c>
      <c r="B149" s="302">
        <f t="shared" si="24"/>
        <v>0</v>
      </c>
      <c r="C149" s="302">
        <f t="shared" si="24"/>
        <v>0</v>
      </c>
      <c r="D149" s="302">
        <f t="shared" si="24"/>
        <v>0</v>
      </c>
      <c r="E149" s="302">
        <f t="shared" si="24"/>
        <v>0</v>
      </c>
      <c r="F149" s="302">
        <f t="shared" si="24"/>
        <v>0</v>
      </c>
      <c r="G149" s="302">
        <f t="shared" si="24"/>
        <v>0</v>
      </c>
      <c r="H149" s="302">
        <f t="shared" si="24"/>
        <v>0</v>
      </c>
    </row>
    <row r="150" spans="1:8">
      <c r="A150" s="99">
        <f t="shared" si="23"/>
        <v>0</v>
      </c>
      <c r="B150" s="302">
        <f t="shared" si="24"/>
        <v>0</v>
      </c>
      <c r="C150" s="302">
        <f t="shared" si="24"/>
        <v>0</v>
      </c>
      <c r="D150" s="302">
        <f t="shared" si="24"/>
        <v>0</v>
      </c>
      <c r="E150" s="302">
        <f t="shared" si="24"/>
        <v>0</v>
      </c>
      <c r="F150" s="302">
        <f t="shared" si="24"/>
        <v>0</v>
      </c>
      <c r="G150" s="302">
        <f t="shared" si="24"/>
        <v>0</v>
      </c>
      <c r="H150" s="302">
        <f t="shared" si="24"/>
        <v>0</v>
      </c>
    </row>
    <row r="151" spans="1:8">
      <c r="A151" s="99">
        <f t="shared" si="23"/>
        <v>0</v>
      </c>
      <c r="B151" s="302">
        <f t="shared" si="24"/>
        <v>0</v>
      </c>
      <c r="C151" s="302">
        <f t="shared" si="24"/>
        <v>0</v>
      </c>
      <c r="D151" s="302">
        <f t="shared" si="24"/>
        <v>0</v>
      </c>
      <c r="E151" s="302">
        <f t="shared" si="24"/>
        <v>0</v>
      </c>
      <c r="F151" s="302">
        <f t="shared" si="24"/>
        <v>0</v>
      </c>
      <c r="G151" s="302">
        <f t="shared" si="24"/>
        <v>0</v>
      </c>
      <c r="H151" s="302">
        <f t="shared" si="24"/>
        <v>0</v>
      </c>
    </row>
    <row r="152" spans="1:8">
      <c r="A152" s="99">
        <f t="shared" si="23"/>
        <v>0</v>
      </c>
      <c r="B152" s="302">
        <f t="shared" si="24"/>
        <v>0</v>
      </c>
      <c r="C152" s="302">
        <f t="shared" si="24"/>
        <v>0</v>
      </c>
      <c r="D152" s="302">
        <f t="shared" si="24"/>
        <v>0</v>
      </c>
      <c r="E152" s="302">
        <f t="shared" si="24"/>
        <v>0</v>
      </c>
      <c r="F152" s="302">
        <f t="shared" si="24"/>
        <v>0</v>
      </c>
      <c r="G152" s="302">
        <f t="shared" si="24"/>
        <v>0</v>
      </c>
      <c r="H152" s="302">
        <f t="shared" si="24"/>
        <v>0</v>
      </c>
    </row>
    <row r="153" spans="1:8">
      <c r="A153" s="99" t="str">
        <f t="shared" si="23"/>
        <v>Onion</v>
      </c>
      <c r="B153" s="302">
        <f t="shared" si="24"/>
        <v>0</v>
      </c>
      <c r="C153" s="302">
        <f t="shared" si="24"/>
        <v>0</v>
      </c>
      <c r="D153" s="302">
        <f t="shared" si="24"/>
        <v>0</v>
      </c>
      <c r="E153" s="302">
        <f t="shared" si="24"/>
        <v>0</v>
      </c>
      <c r="F153" s="302">
        <f t="shared" si="24"/>
        <v>0</v>
      </c>
      <c r="G153" s="302">
        <f t="shared" si="24"/>
        <v>0</v>
      </c>
      <c r="H153" s="302">
        <f t="shared" si="24"/>
        <v>0</v>
      </c>
    </row>
    <row r="154" spans="1:8">
      <c r="A154" s="99" t="str">
        <f t="shared" si="23"/>
        <v>Tomato</v>
      </c>
      <c r="B154" s="302">
        <f t="shared" ref="B154:H161" si="25">B102-(B102*$G$7)</f>
        <v>0</v>
      </c>
      <c r="C154" s="302">
        <f t="shared" si="25"/>
        <v>0</v>
      </c>
      <c r="D154" s="302">
        <f t="shared" si="25"/>
        <v>0</v>
      </c>
      <c r="E154" s="302">
        <f t="shared" si="25"/>
        <v>0</v>
      </c>
      <c r="F154" s="302">
        <f t="shared" si="25"/>
        <v>0</v>
      </c>
      <c r="G154" s="302">
        <f t="shared" si="25"/>
        <v>0</v>
      </c>
      <c r="H154" s="302">
        <f t="shared" si="25"/>
        <v>0</v>
      </c>
    </row>
    <row r="155" spans="1:8">
      <c r="A155" s="99" t="str">
        <f t="shared" si="23"/>
        <v>Okra</v>
      </c>
      <c r="B155" s="302">
        <f t="shared" si="25"/>
        <v>0</v>
      </c>
      <c r="C155" s="302">
        <f t="shared" si="25"/>
        <v>0</v>
      </c>
      <c r="D155" s="302">
        <f t="shared" si="25"/>
        <v>0</v>
      </c>
      <c r="E155" s="302">
        <f t="shared" si="25"/>
        <v>0</v>
      </c>
      <c r="F155" s="302">
        <f t="shared" si="25"/>
        <v>0</v>
      </c>
      <c r="G155" s="302">
        <f t="shared" si="25"/>
        <v>0</v>
      </c>
      <c r="H155" s="302">
        <f t="shared" si="25"/>
        <v>0</v>
      </c>
    </row>
    <row r="156" spans="1:8">
      <c r="A156" s="99" t="str">
        <f t="shared" si="23"/>
        <v>Chilli</v>
      </c>
      <c r="B156" s="302">
        <f t="shared" si="25"/>
        <v>0</v>
      </c>
      <c r="C156" s="302">
        <f t="shared" si="25"/>
        <v>0</v>
      </c>
      <c r="D156" s="302">
        <f t="shared" si="25"/>
        <v>0</v>
      </c>
      <c r="E156" s="302">
        <f t="shared" si="25"/>
        <v>0</v>
      </c>
      <c r="F156" s="302">
        <f t="shared" si="25"/>
        <v>0</v>
      </c>
      <c r="G156" s="302">
        <f t="shared" si="25"/>
        <v>0</v>
      </c>
      <c r="H156" s="302">
        <f t="shared" si="25"/>
        <v>0</v>
      </c>
    </row>
    <row r="157" spans="1:8">
      <c r="A157" s="99" t="str">
        <f t="shared" si="23"/>
        <v>Brinjal</v>
      </c>
      <c r="B157" s="302">
        <f t="shared" si="25"/>
        <v>0</v>
      </c>
      <c r="C157" s="302">
        <f t="shared" si="25"/>
        <v>0</v>
      </c>
      <c r="D157" s="302">
        <f t="shared" si="25"/>
        <v>0</v>
      </c>
      <c r="E157" s="302">
        <f t="shared" si="25"/>
        <v>0</v>
      </c>
      <c r="F157" s="302">
        <f t="shared" si="25"/>
        <v>0</v>
      </c>
      <c r="G157" s="302">
        <f t="shared" si="25"/>
        <v>0</v>
      </c>
      <c r="H157" s="302">
        <f t="shared" si="25"/>
        <v>0</v>
      </c>
    </row>
    <row r="158" spans="1:8">
      <c r="A158" s="99">
        <f t="shared" si="23"/>
        <v>0</v>
      </c>
      <c r="B158" s="302">
        <f t="shared" si="25"/>
        <v>0</v>
      </c>
      <c r="C158" s="302">
        <f t="shared" si="25"/>
        <v>0</v>
      </c>
      <c r="D158" s="302">
        <f t="shared" si="25"/>
        <v>0</v>
      </c>
      <c r="E158" s="302">
        <f t="shared" si="25"/>
        <v>0</v>
      </c>
      <c r="F158" s="302">
        <f t="shared" si="25"/>
        <v>0</v>
      </c>
      <c r="G158" s="302">
        <f t="shared" si="25"/>
        <v>0</v>
      </c>
      <c r="H158" s="302">
        <f t="shared" si="25"/>
        <v>0</v>
      </c>
    </row>
    <row r="159" spans="1:8">
      <c r="A159" s="99">
        <f t="shared" si="23"/>
        <v>0</v>
      </c>
      <c r="B159" s="302">
        <f t="shared" si="25"/>
        <v>0</v>
      </c>
      <c r="C159" s="302">
        <f t="shared" si="25"/>
        <v>0</v>
      </c>
      <c r="D159" s="302">
        <f t="shared" si="25"/>
        <v>0</v>
      </c>
      <c r="E159" s="302">
        <f t="shared" si="25"/>
        <v>0</v>
      </c>
      <c r="F159" s="302">
        <f t="shared" si="25"/>
        <v>0</v>
      </c>
      <c r="G159" s="302">
        <f t="shared" si="25"/>
        <v>0</v>
      </c>
      <c r="H159" s="302">
        <f t="shared" si="25"/>
        <v>0</v>
      </c>
    </row>
    <row r="160" spans="1:8">
      <c r="A160" s="99">
        <f t="shared" si="23"/>
        <v>0</v>
      </c>
      <c r="B160" s="302">
        <f t="shared" si="25"/>
        <v>0</v>
      </c>
      <c r="C160" s="302">
        <f t="shared" si="25"/>
        <v>0</v>
      </c>
      <c r="D160" s="302">
        <f t="shared" si="25"/>
        <v>0</v>
      </c>
      <c r="E160" s="302">
        <f t="shared" si="25"/>
        <v>0</v>
      </c>
      <c r="F160" s="302">
        <f t="shared" si="25"/>
        <v>0</v>
      </c>
      <c r="G160" s="302">
        <f t="shared" si="25"/>
        <v>0</v>
      </c>
      <c r="H160" s="302">
        <f t="shared" si="25"/>
        <v>0</v>
      </c>
    </row>
    <row r="161" spans="1:20">
      <c r="A161" s="99">
        <f t="shared" si="23"/>
        <v>0</v>
      </c>
      <c r="B161" s="302">
        <f t="shared" si="25"/>
        <v>0</v>
      </c>
      <c r="C161" s="302">
        <f t="shared" si="25"/>
        <v>0</v>
      </c>
      <c r="D161" s="302">
        <f t="shared" si="25"/>
        <v>0</v>
      </c>
      <c r="E161" s="302">
        <f t="shared" si="25"/>
        <v>0</v>
      </c>
      <c r="F161" s="302">
        <f t="shared" si="25"/>
        <v>0</v>
      </c>
      <c r="G161" s="302">
        <f t="shared" si="25"/>
        <v>0</v>
      </c>
      <c r="H161" s="302">
        <f t="shared" si="25"/>
        <v>0</v>
      </c>
    </row>
    <row r="162" spans="1:20">
      <c r="A162" s="99">
        <f t="shared" ref="A162:A165" si="26">A110</f>
        <v>0</v>
      </c>
      <c r="B162" s="302">
        <f t="shared" ref="B162:H162" si="27">B110-(B110*$G$7)</f>
        <v>0</v>
      </c>
      <c r="C162" s="302">
        <f t="shared" si="27"/>
        <v>0</v>
      </c>
      <c r="D162" s="302">
        <f t="shared" si="27"/>
        <v>0</v>
      </c>
      <c r="E162" s="302">
        <f t="shared" si="27"/>
        <v>0</v>
      </c>
      <c r="F162" s="302">
        <f t="shared" si="27"/>
        <v>0</v>
      </c>
      <c r="G162" s="302">
        <f t="shared" si="27"/>
        <v>0</v>
      </c>
      <c r="H162" s="302">
        <f t="shared" si="27"/>
        <v>0</v>
      </c>
    </row>
    <row r="163" spans="1:20">
      <c r="A163" s="99">
        <f t="shared" si="26"/>
        <v>0</v>
      </c>
      <c r="B163" s="302">
        <f t="shared" ref="B163:H163" si="28">B111-(B111*$G$7)</f>
        <v>0</v>
      </c>
      <c r="C163" s="302">
        <f t="shared" si="28"/>
        <v>0</v>
      </c>
      <c r="D163" s="302">
        <f t="shared" si="28"/>
        <v>0</v>
      </c>
      <c r="E163" s="302">
        <f t="shared" si="28"/>
        <v>0</v>
      </c>
      <c r="F163" s="302">
        <f t="shared" si="28"/>
        <v>0</v>
      </c>
      <c r="G163" s="302">
        <f t="shared" si="28"/>
        <v>0</v>
      </c>
      <c r="H163" s="302">
        <f t="shared" si="28"/>
        <v>0</v>
      </c>
    </row>
    <row r="164" spans="1:20">
      <c r="A164" s="99">
        <f t="shared" si="26"/>
        <v>0</v>
      </c>
      <c r="B164" s="302">
        <f t="shared" ref="B164:H165" si="29">B112-(B112*$G$7)</f>
        <v>0</v>
      </c>
      <c r="C164" s="302">
        <f t="shared" si="29"/>
        <v>0</v>
      </c>
      <c r="D164" s="302">
        <f t="shared" si="29"/>
        <v>0</v>
      </c>
      <c r="E164" s="302">
        <f t="shared" si="29"/>
        <v>0</v>
      </c>
      <c r="F164" s="302">
        <f t="shared" si="29"/>
        <v>0</v>
      </c>
      <c r="G164" s="302">
        <f t="shared" si="29"/>
        <v>0</v>
      </c>
      <c r="H164" s="302">
        <f t="shared" si="29"/>
        <v>0</v>
      </c>
    </row>
    <row r="165" spans="1:20">
      <c r="A165" s="99" t="str">
        <f t="shared" si="26"/>
        <v>Pomegranate</v>
      </c>
      <c r="B165" s="302">
        <f t="shared" si="29"/>
        <v>0</v>
      </c>
      <c r="C165" s="302">
        <f t="shared" ref="C165:H168" si="30">C113-(C113*$G$7)</f>
        <v>0</v>
      </c>
      <c r="D165" s="302">
        <f t="shared" si="30"/>
        <v>0</v>
      </c>
      <c r="E165" s="302">
        <f t="shared" si="30"/>
        <v>0</v>
      </c>
      <c r="F165" s="302">
        <f t="shared" si="30"/>
        <v>0</v>
      </c>
      <c r="G165" s="302">
        <f t="shared" si="30"/>
        <v>0</v>
      </c>
      <c r="H165" s="302">
        <f t="shared" si="30"/>
        <v>0</v>
      </c>
    </row>
    <row r="166" spans="1:20">
      <c r="A166" s="99" t="str">
        <f>A114</f>
        <v>Custard Apple</v>
      </c>
      <c r="B166" s="302">
        <f>B114-(B114*$G$7)</f>
        <v>0</v>
      </c>
      <c r="C166" s="302">
        <f t="shared" si="30"/>
        <v>0</v>
      </c>
      <c r="D166" s="302">
        <f t="shared" si="30"/>
        <v>0</v>
      </c>
      <c r="E166" s="302">
        <f t="shared" si="30"/>
        <v>0</v>
      </c>
      <c r="F166" s="302">
        <f t="shared" si="30"/>
        <v>0</v>
      </c>
      <c r="G166" s="302">
        <f t="shared" si="30"/>
        <v>0</v>
      </c>
      <c r="H166" s="302">
        <f t="shared" si="30"/>
        <v>0</v>
      </c>
    </row>
    <row r="167" spans="1:20">
      <c r="A167" s="99" t="str">
        <f>A115</f>
        <v>Guava</v>
      </c>
      <c r="B167" s="302">
        <f>B115-(B115*$G$7)</f>
        <v>0</v>
      </c>
      <c r="C167" s="302">
        <f t="shared" si="30"/>
        <v>0</v>
      </c>
      <c r="D167" s="302">
        <f t="shared" si="30"/>
        <v>0</v>
      </c>
      <c r="E167" s="302">
        <f t="shared" si="30"/>
        <v>0</v>
      </c>
      <c r="F167" s="302">
        <f t="shared" si="30"/>
        <v>0</v>
      </c>
      <c r="G167" s="302">
        <f t="shared" si="30"/>
        <v>0</v>
      </c>
      <c r="H167" s="302">
        <f t="shared" si="30"/>
        <v>0</v>
      </c>
    </row>
    <row r="168" spans="1:20">
      <c r="A168" s="99" t="str">
        <f>A116</f>
        <v>Citrus</v>
      </c>
      <c r="B168" s="302">
        <f>B116-(B116*$G$7)</f>
        <v>0</v>
      </c>
      <c r="C168" s="302">
        <f t="shared" si="30"/>
        <v>0</v>
      </c>
      <c r="D168" s="302">
        <f t="shared" si="30"/>
        <v>0</v>
      </c>
      <c r="E168" s="302">
        <f t="shared" si="30"/>
        <v>0</v>
      </c>
      <c r="F168" s="302">
        <f t="shared" si="30"/>
        <v>0</v>
      </c>
      <c r="G168" s="302">
        <f t="shared" si="30"/>
        <v>0</v>
      </c>
      <c r="H168" s="302">
        <f t="shared" si="30"/>
        <v>0</v>
      </c>
    </row>
    <row r="169" spans="1:20">
      <c r="A169" s="187"/>
    </row>
    <row r="170" spans="1:20" ht="18.75">
      <c r="A170" s="417" t="s">
        <v>595</v>
      </c>
      <c r="B170" s="417"/>
      <c r="C170" s="417"/>
      <c r="D170" s="417"/>
      <c r="E170" s="417"/>
      <c r="F170" s="417"/>
      <c r="G170" s="417"/>
      <c r="H170" s="417"/>
      <c r="I170" s="417"/>
      <c r="J170" s="417"/>
    </row>
    <row r="171" spans="1:20">
      <c r="A171" s="16"/>
      <c r="B171" s="16"/>
      <c r="C171" s="16"/>
      <c r="D171" s="16"/>
      <c r="E171" s="16"/>
      <c r="F171" s="16"/>
      <c r="G171" s="16"/>
      <c r="H171" s="16"/>
    </row>
    <row r="172" spans="1:20">
      <c r="A172" s="197"/>
      <c r="B172" s="197"/>
      <c r="C172" s="197"/>
      <c r="D172" s="198">
        <v>1</v>
      </c>
      <c r="E172" s="199">
        <f>(D172*5%)+D172</f>
        <v>1.05</v>
      </c>
      <c r="F172" s="199">
        <f t="shared" ref="F172:J172" si="31">(E172*5%)+E172</f>
        <v>1.1025</v>
      </c>
      <c r="G172" s="199">
        <f t="shared" si="31"/>
        <v>1.1576250000000001</v>
      </c>
      <c r="H172" s="199">
        <f t="shared" si="31"/>
        <v>1.2155062500000002</v>
      </c>
      <c r="I172" s="199">
        <f t="shared" si="31"/>
        <v>1.2762815625000004</v>
      </c>
      <c r="J172" s="199">
        <f t="shared" si="31"/>
        <v>1.3400956406250004</v>
      </c>
      <c r="K172" s="94"/>
      <c r="L172" s="94"/>
      <c r="M172" s="94"/>
      <c r="N172" s="94"/>
      <c r="O172" s="94"/>
      <c r="P172" s="94"/>
      <c r="Q172" s="94"/>
      <c r="R172" s="94"/>
      <c r="S172" s="94"/>
      <c r="T172" s="94"/>
    </row>
    <row r="173" spans="1:20">
      <c r="A173" s="94"/>
      <c r="B173" s="94"/>
      <c r="C173" s="94"/>
      <c r="D173" s="94"/>
      <c r="E173" s="94"/>
      <c r="F173" s="94"/>
      <c r="G173" s="94"/>
      <c r="H173" s="94"/>
      <c r="I173" s="94"/>
      <c r="J173" s="94"/>
      <c r="K173" s="94"/>
      <c r="L173" s="94"/>
      <c r="M173" s="94"/>
      <c r="N173" s="94"/>
      <c r="O173" s="94"/>
      <c r="P173" s="94"/>
      <c r="Q173" s="94"/>
      <c r="R173" s="94"/>
      <c r="S173" s="94"/>
      <c r="T173" s="94"/>
    </row>
    <row r="174" spans="1:20">
      <c r="A174" s="94"/>
      <c r="B174" s="94"/>
      <c r="C174" s="94"/>
      <c r="D174" s="179"/>
      <c r="E174" s="179"/>
      <c r="F174" s="179"/>
      <c r="G174" s="179"/>
      <c r="H174" s="179"/>
      <c r="I174" s="179"/>
      <c r="J174" s="179"/>
      <c r="K174" s="94"/>
      <c r="L174" s="94"/>
    </row>
    <row r="175" spans="1:20">
      <c r="A175" s="82" t="s">
        <v>0</v>
      </c>
      <c r="B175" s="82"/>
      <c r="C175" s="82" t="s">
        <v>154</v>
      </c>
      <c r="D175" s="83" t="s">
        <v>2</v>
      </c>
      <c r="E175" s="83" t="s">
        <v>3</v>
      </c>
      <c r="F175" s="83" t="s">
        <v>4</v>
      </c>
      <c r="G175" s="83" t="s">
        <v>5</v>
      </c>
      <c r="H175" s="83" t="s">
        <v>6</v>
      </c>
      <c r="I175" s="83" t="s">
        <v>171</v>
      </c>
      <c r="J175" s="83" t="s">
        <v>170</v>
      </c>
      <c r="K175" s="94"/>
      <c r="L175" s="94"/>
    </row>
    <row r="176" spans="1:20">
      <c r="A176" s="97"/>
      <c r="B176" s="97"/>
      <c r="C176" s="97"/>
      <c r="D176" s="95"/>
      <c r="E176" s="95"/>
      <c r="F176" s="95"/>
      <c r="G176" s="95"/>
      <c r="H176" s="95"/>
      <c r="I176" s="95"/>
      <c r="J176" s="95"/>
      <c r="K176" s="94"/>
      <c r="L176" s="94"/>
    </row>
    <row r="177" spans="1:12">
      <c r="A177" s="97" t="s">
        <v>127</v>
      </c>
      <c r="B177" s="97"/>
      <c r="C177" s="97"/>
      <c r="D177" s="95"/>
      <c r="E177" s="95"/>
      <c r="F177" s="95"/>
      <c r="G177" s="95"/>
      <c r="H177" s="95"/>
      <c r="I177" s="95"/>
      <c r="J177" s="95"/>
      <c r="K177" s="94"/>
      <c r="L177" s="94"/>
    </row>
    <row r="178" spans="1:12">
      <c r="A178" s="95" t="str">
        <f t="shared" ref="A178:A198" si="32">A120</f>
        <v>Soybean</v>
      </c>
      <c r="B178" s="95" t="s">
        <v>368</v>
      </c>
      <c r="C178" s="261">
        <v>5000</v>
      </c>
      <c r="D178" s="200">
        <f>(B120*(1-'5.Closing Stock &amp; W Capital'!$D$16))*C$178*D172</f>
        <v>5789912.12775</v>
      </c>
      <c r="E178" s="200">
        <f>((C120*(1-'5.Closing Stock &amp; W Capital'!$D$16))+(B120*'5.Closing Stock &amp; W Capital'!$D$16))*$C178*E$172</f>
        <v>7919228.4957843758</v>
      </c>
      <c r="F178" s="200">
        <f>((D120*(1-'5.Closing Stock &amp; W Capital'!$D$16))+(C120*'5.Closing Stock &amp; W Capital'!$D$16))*$C178*F$172</f>
        <v>9995026.2681642175</v>
      </c>
      <c r="G178" s="200">
        <f>((E120*(1-'5.Closing Stock &amp; W Capital'!$D$16))+(D120*'5.Closing Stock &amp; W Capital'!$D$16))*$C178*G$172</f>
        <v>12258605.746542586</v>
      </c>
      <c r="H178" s="200">
        <f>((F120*(1-'5.Closing Stock &amp; W Capital'!$D$16))+(E120*'5.Closing Stock &amp; W Capital'!$D$16))*$C178*H$172</f>
        <v>14723555.607088383</v>
      </c>
      <c r="I178" s="200">
        <f>((G120*(1-'5.Closing Stock &amp; W Capital'!$D$16))+(F120*'5.Closing Stock &amp; W Capital'!$D$16))*$C178*I$172</f>
        <v>17404353.939322401</v>
      </c>
      <c r="J178" s="200">
        <f>((H120*(1-'5.Closing Stock &amp; W Capital'!$D$16))+(G120*'5.Closing Stock &amp; W Capital'!$D$16))*$C178*J$172</f>
        <v>20316423.215762101</v>
      </c>
      <c r="K178" s="94"/>
      <c r="L178" s="94"/>
    </row>
    <row r="179" spans="1:12">
      <c r="A179" s="95" t="str">
        <f t="shared" si="32"/>
        <v>Red Gram/Tur</v>
      </c>
      <c r="B179" s="95" t="s">
        <v>368</v>
      </c>
      <c r="C179" s="261">
        <v>7000</v>
      </c>
      <c r="D179" s="200">
        <f>(B121*(1-'5.Closing Stock &amp; W Capital'!$D$16))*$C179*D$172</f>
        <v>0</v>
      </c>
      <c r="E179" s="200">
        <f>((C121*(1-'5.Closing Stock &amp; W Capital'!$D$16))+(B121*'5.Closing Stock &amp; W Capital'!$D$16))*$C179*E$172</f>
        <v>0</v>
      </c>
      <c r="F179" s="200">
        <f>((D121*(1-'5.Closing Stock &amp; W Capital'!$D$16))+(C121*'5.Closing Stock &amp; W Capital'!$D$16))*$C179*F$172</f>
        <v>0</v>
      </c>
      <c r="G179" s="200">
        <f>((E121*(1-'5.Closing Stock &amp; W Capital'!$D$16))+(D121*'5.Closing Stock &amp; W Capital'!$D$16))*$C179*G$172</f>
        <v>0</v>
      </c>
      <c r="H179" s="200">
        <f>((F121*(1-'5.Closing Stock &amp; W Capital'!$D$16))+(E121*'5.Closing Stock &amp; W Capital'!$D$16))*$C179*H$172</f>
        <v>0</v>
      </c>
      <c r="I179" s="200">
        <f>((G121*(1-'5.Closing Stock &amp; W Capital'!$D$16))+(F121*'5.Closing Stock &amp; W Capital'!$D$16))*$C179*I$172</f>
        <v>0</v>
      </c>
      <c r="J179" s="200">
        <f>((H121*(1-'5.Closing Stock &amp; W Capital'!$D$16))+(G121*'5.Closing Stock &amp; W Capital'!$D$16))*$C179*J$172</f>
        <v>0</v>
      </c>
      <c r="K179" s="94"/>
      <c r="L179" s="94"/>
    </row>
    <row r="180" spans="1:12">
      <c r="A180" s="95" t="str">
        <f t="shared" si="32"/>
        <v>Paddy/Rice</v>
      </c>
      <c r="B180" s="95" t="s">
        <v>368</v>
      </c>
      <c r="C180" s="261"/>
      <c r="D180" s="200">
        <f>(B122*(1-'5.Closing Stock &amp; W Capital'!$D$16))*$C180*D$172</f>
        <v>0</v>
      </c>
      <c r="E180" s="200">
        <f>((C122*(1-'5.Closing Stock &amp; W Capital'!$D$16))+(B122*'5.Closing Stock &amp; W Capital'!$D$16))*$C180*E$172</f>
        <v>0</v>
      </c>
      <c r="F180" s="200">
        <f>((D122*(1-'5.Closing Stock &amp; W Capital'!$D$16))+(C122*'5.Closing Stock &amp; W Capital'!$D$16))*$C180*F$172</f>
        <v>0</v>
      </c>
      <c r="G180" s="200">
        <f>((E122*(1-'5.Closing Stock &amp; W Capital'!$D$16))+(D122*'5.Closing Stock &amp; W Capital'!$D$16))*$C180*G$172</f>
        <v>0</v>
      </c>
      <c r="H180" s="200">
        <f>((F122*(1-'5.Closing Stock &amp; W Capital'!$D$16))+(E122*'5.Closing Stock &amp; W Capital'!$D$16))*$C180*H$172</f>
        <v>0</v>
      </c>
      <c r="I180" s="200">
        <f>((G122*(1-'5.Closing Stock &amp; W Capital'!$D$16))+(F122*'5.Closing Stock &amp; W Capital'!$D$16))*$C180*I$172</f>
        <v>0</v>
      </c>
      <c r="J180" s="200">
        <f>((H122*(1-'5.Closing Stock &amp; W Capital'!$D$16))+(G122*'5.Closing Stock &amp; W Capital'!$D$16))*$C180*J$172</f>
        <v>0</v>
      </c>
      <c r="K180" s="94"/>
      <c r="L180" s="94"/>
    </row>
    <row r="181" spans="1:12">
      <c r="A181" s="95" t="str">
        <f t="shared" si="32"/>
        <v>Green Gram/ Moong</v>
      </c>
      <c r="B181" s="95" t="s">
        <v>368</v>
      </c>
      <c r="C181" s="261">
        <v>6000</v>
      </c>
      <c r="D181" s="200">
        <f>(B123*(1-'5.Closing Stock &amp; W Capital'!$D$16))*$C181*D$172</f>
        <v>2508555.6124020005</v>
      </c>
      <c r="E181" s="200">
        <f>((C123*(1-'5.Closing Stock &amp; W Capital'!$D$16))+(B123*'5.Closing Stock &amp; W Capital'!$D$16))*$C181*E$172</f>
        <v>3431109.9461735259</v>
      </c>
      <c r="F181" s="200">
        <f>((D123*(1-'5.Closing Stock &amp; W Capital'!$D$16))+(C123*'5.Closing Stock &amp; W Capital'!$D$16))*$C181*F$172</f>
        <v>4330476.6441856762</v>
      </c>
      <c r="G181" s="200">
        <f>((E123*(1-'5.Closing Stock &amp; W Capital'!$D$16))+(D123*'5.Closing Stock &amp; W Capital'!$D$16))*$C181*G$172</f>
        <v>5311202.2371336101</v>
      </c>
      <c r="H181" s="200">
        <f>((F123*(1-'5.Closing Stock &amp; W Capital'!$D$16))+(E123*'5.Closing Stock &amp; W Capital'!$D$16))*$C181*H$172</f>
        <v>6379174.1977658719</v>
      </c>
      <c r="I181" s="200">
        <f>((G123*(1-'5.Closing Stock &amp; W Capital'!$D$16))+(F123*'5.Closing Stock &amp; W Capital'!$D$16))*$C181*I$172</f>
        <v>7540665.3488685284</v>
      </c>
      <c r="J181" s="200">
        <f>((H123*(1-'5.Closing Stock &amp; W Capital'!$D$16))+(G123*'5.Closing Stock &amp; W Capital'!$D$16))*$C181*J$172</f>
        <v>8802357.6795870308</v>
      </c>
      <c r="K181" s="94"/>
      <c r="L181" s="94"/>
    </row>
    <row r="182" spans="1:12">
      <c r="A182" s="95" t="str">
        <f t="shared" si="32"/>
        <v>Maize</v>
      </c>
      <c r="B182" s="95" t="s">
        <v>368</v>
      </c>
      <c r="C182" s="261">
        <v>1800</v>
      </c>
      <c r="D182" s="200">
        <f>(B124*(1-'5.Closing Stock &amp; W Capital'!$D$16))*$C182*D$172</f>
        <v>5850858.5712000001</v>
      </c>
      <c r="E182" s="200">
        <f>((C124*(1-'5.Closing Stock &amp; W Capital'!$D$16))+(B124*'5.Closing Stock &amp; W Capital'!$D$16))*$C182*E$172</f>
        <v>8002588.7957400009</v>
      </c>
      <c r="F182" s="200">
        <f>((D124*(1-'5.Closing Stock &amp; W Capital'!$D$16))+(C124*'5.Closing Stock &amp; W Capital'!$D$16))*$C182*F$172</f>
        <v>10100237.070987001</v>
      </c>
      <c r="G182" s="200">
        <f>((E124*(1-'5.Closing Stock &amp; W Capital'!$D$16))+(D124*'5.Closing Stock &amp; W Capital'!$D$16))*$C182*G$172</f>
        <v>12387643.70176935</v>
      </c>
      <c r="H182" s="200">
        <f>((F124*(1-'5.Closing Stock &amp; W Capital'!$D$16))+(E124*'5.Closing Stock &amp; W Capital'!$D$16))*$C182*H$172</f>
        <v>14878540.402952466</v>
      </c>
      <c r="I182" s="200">
        <f>((G124*(1-'5.Closing Stock &amp; W Capital'!$D$16))+(F124*'5.Closing Stock &amp; W Capital'!$D$16))*$C182*I$172</f>
        <v>17587557.664999478</v>
      </c>
      <c r="J182" s="200">
        <f>((H124*(1-'5.Closing Stock &amp; W Capital'!$D$16))+(G124*'5.Closing Stock &amp; W Capital'!$D$16))*$C182*J$172</f>
        <v>20530280.302243803</v>
      </c>
      <c r="K182" s="94"/>
      <c r="L182" s="94"/>
    </row>
    <row r="183" spans="1:12">
      <c r="A183" s="95" t="str">
        <f t="shared" si="32"/>
        <v>Black Gram/Udid</v>
      </c>
      <c r="B183" s="95" t="s">
        <v>368</v>
      </c>
      <c r="C183" s="261">
        <v>6500</v>
      </c>
      <c r="D183" s="200">
        <f>(B125*(1-'5.Closing Stock &amp; W Capital'!$D$16))*$C183*D$172</f>
        <v>1663837.9061850002</v>
      </c>
      <c r="E183" s="200">
        <f>((C125*(1-'5.Closing Stock &amp; W Capital'!$D$16))+(B125*'5.Closing Stock &amp; W Capital'!$D$16))*$C183*E$172</f>
        <v>2275736.1887885625</v>
      </c>
      <c r="F183" s="200">
        <f>((D125*(1-'5.Closing Stock &amp; W Capital'!$D$16))+(C125*'5.Closing Stock &amp; W Capital'!$D$16))*$C183*F$172</f>
        <v>2872254.9170619277</v>
      </c>
      <c r="G183" s="200">
        <f>((E125*(1-'5.Closing Stock &amp; W Capital'!$D$16))+(D125*'5.Closing Stock &amp; W Capital'!$D$16))*$C183*G$172</f>
        <v>3522736.1776906592</v>
      </c>
      <c r="H183" s="200">
        <f>((F125*(1-'5.Closing Stock &amp; W Capital'!$D$16))+(E125*'5.Closing Stock &amp; W Capital'!$D$16))*$C183*H$172</f>
        <v>4231084.9270896083</v>
      </c>
      <c r="I183" s="200">
        <f>((G125*(1-'5.Closing Stock &amp; W Capital'!$D$16))+(F125*'5.Closing Stock &amp; W Capital'!$D$16))*$C183*I$172</f>
        <v>5001461.7109842263</v>
      </c>
      <c r="J183" s="200">
        <f>((H125*(1-'5.Closing Stock &amp; W Capital'!$D$16))+(G125*'5.Closing Stock &amp; W Capital'!$D$16))*$C183*J$172</f>
        <v>5838298.4609505814</v>
      </c>
      <c r="K183" s="94"/>
      <c r="L183" s="94"/>
    </row>
    <row r="184" spans="1:12">
      <c r="A184" s="95" t="str">
        <f t="shared" si="32"/>
        <v>Bajra</v>
      </c>
      <c r="B184" s="95" t="s">
        <v>368</v>
      </c>
      <c r="C184" s="261">
        <v>2000</v>
      </c>
      <c r="D184" s="200">
        <f>(B126*(1-'5.Closing Stock &amp; W Capital'!$D$16))*$C184*D$172</f>
        <v>0</v>
      </c>
      <c r="E184" s="200">
        <f>((C126*(1-'5.Closing Stock &amp; W Capital'!$D$16))+(B126*'5.Closing Stock &amp; W Capital'!$D$16))*$C184*E$172</f>
        <v>0</v>
      </c>
      <c r="F184" s="200">
        <f>((D126*(1-'5.Closing Stock &amp; W Capital'!$D$16))+(C126*'5.Closing Stock &amp; W Capital'!$D$16))*$C184*F$172</f>
        <v>0</v>
      </c>
      <c r="G184" s="200">
        <f>((E126*(1-'5.Closing Stock &amp; W Capital'!$D$16))+(D126*'5.Closing Stock &amp; W Capital'!$D$16))*$C184*G$172</f>
        <v>0</v>
      </c>
      <c r="H184" s="200">
        <f>((F126*(1-'5.Closing Stock &amp; W Capital'!$D$16))+(E126*'5.Closing Stock &amp; W Capital'!$D$16))*$C184*H$172</f>
        <v>0</v>
      </c>
      <c r="I184" s="200">
        <f>((G126*(1-'5.Closing Stock &amp; W Capital'!$D$16))+(F126*'5.Closing Stock &amp; W Capital'!$D$16))*$C184*I$172</f>
        <v>0</v>
      </c>
      <c r="J184" s="200">
        <f>((H126*(1-'5.Closing Stock &amp; W Capital'!$D$16))+(G126*'5.Closing Stock &amp; W Capital'!$D$16))*$C184*J$172</f>
        <v>0</v>
      </c>
      <c r="K184" s="94"/>
      <c r="L184" s="94"/>
    </row>
    <row r="185" spans="1:12">
      <c r="A185" s="95" t="str">
        <f t="shared" si="32"/>
        <v>Jawar</v>
      </c>
      <c r="B185" s="95" t="s">
        <v>368</v>
      </c>
      <c r="C185" s="261"/>
      <c r="D185" s="200">
        <f>(B127*(1-'5.Closing Stock &amp; W Capital'!$D$16))*$C185*D$172</f>
        <v>0</v>
      </c>
      <c r="E185" s="200">
        <f>((C127*(1-'5.Closing Stock &amp; W Capital'!$D$16))+(B127*'5.Closing Stock &amp; W Capital'!$D$16))*$C185*E$172</f>
        <v>0</v>
      </c>
      <c r="F185" s="200">
        <f>((D127*(1-'5.Closing Stock &amp; W Capital'!$D$16))+(C127*'5.Closing Stock &amp; W Capital'!$D$16))*$C185*F$172</f>
        <v>0</v>
      </c>
      <c r="G185" s="200">
        <f>((E127*(1-'5.Closing Stock &amp; W Capital'!$D$16))+(D127*'5.Closing Stock &amp; W Capital'!$D$16))*$C185*G$172</f>
        <v>0</v>
      </c>
      <c r="H185" s="200">
        <f>((F127*(1-'5.Closing Stock &amp; W Capital'!$D$16))+(E127*'5.Closing Stock &amp; W Capital'!$D$16))*$C185*H$172</f>
        <v>0</v>
      </c>
      <c r="I185" s="200">
        <f>((G127*(1-'5.Closing Stock &amp; W Capital'!$D$16))+(F127*'5.Closing Stock &amp; W Capital'!$D$16))*$C185*I$172</f>
        <v>0</v>
      </c>
      <c r="J185" s="200">
        <f>((H127*(1-'5.Closing Stock &amp; W Capital'!$D$16))+(G127*'5.Closing Stock &amp; W Capital'!$D$16))*$C185*J$172</f>
        <v>0</v>
      </c>
      <c r="K185" s="94"/>
      <c r="L185" s="94"/>
    </row>
    <row r="186" spans="1:12">
      <c r="A186" s="95" t="str">
        <f t="shared" si="32"/>
        <v>Sunflower</v>
      </c>
      <c r="B186" s="95" t="s">
        <v>368</v>
      </c>
      <c r="C186" s="261"/>
      <c r="D186" s="200">
        <f>(B128*(1-'5.Closing Stock &amp; W Capital'!$D$16))*$C186*D$172</f>
        <v>0</v>
      </c>
      <c r="E186" s="200">
        <f>((C128*(1-'5.Closing Stock &amp; W Capital'!$D$16))+(B128*'5.Closing Stock &amp; W Capital'!$D$16))*$C186*E$172</f>
        <v>0</v>
      </c>
      <c r="F186" s="200">
        <f>((D128*(1-'5.Closing Stock &amp; W Capital'!$D$16))+(C128*'5.Closing Stock &amp; W Capital'!$D$16))*$C186*F$172</f>
        <v>0</v>
      </c>
      <c r="G186" s="200">
        <f>((E128*(1-'5.Closing Stock &amp; W Capital'!$D$16))+(D128*'5.Closing Stock &amp; W Capital'!$D$16))*$C186*G$172</f>
        <v>0</v>
      </c>
      <c r="H186" s="200">
        <f>((F128*(1-'5.Closing Stock &amp; W Capital'!$D$16))+(E128*'5.Closing Stock &amp; W Capital'!$D$16))*$C186*H$172</f>
        <v>0</v>
      </c>
      <c r="I186" s="200">
        <f>((G128*(1-'5.Closing Stock &amp; W Capital'!$D$16))+(F128*'5.Closing Stock &amp; W Capital'!$D$16))*$C186*I$172</f>
        <v>0</v>
      </c>
      <c r="J186" s="200">
        <f>((H128*(1-'5.Closing Stock &amp; W Capital'!$D$16))+(G128*'5.Closing Stock &amp; W Capital'!$D$16))*$C186*J$172</f>
        <v>0</v>
      </c>
      <c r="K186" s="94"/>
      <c r="L186" s="94"/>
    </row>
    <row r="187" spans="1:12">
      <c r="A187" s="95" t="str">
        <f t="shared" si="32"/>
        <v>Wheat</v>
      </c>
      <c r="B187" s="95" t="s">
        <v>368</v>
      </c>
      <c r="C187" s="261">
        <v>2000</v>
      </c>
      <c r="D187" s="200">
        <f>(B129*(1-'5.Closing Stock &amp; W Capital'!$D$16))*$C187*D$172</f>
        <v>658221.58925999992</v>
      </c>
      <c r="E187" s="200">
        <f>((C129*(1-'5.Closing Stock &amp; W Capital'!$D$16))+(B129*'5.Closing Stock &amp; W Capital'!$D$16))*$C187*E$172</f>
        <v>900291.23952075001</v>
      </c>
      <c r="F187" s="200">
        <f>((D129*(1-'5.Closing Stock &amp; W Capital'!$D$16))+(C129*'5.Closing Stock &amp; W Capital'!$D$16))*$C187*F$172</f>
        <v>1136276.6704860374</v>
      </c>
      <c r="G187" s="200">
        <f>((E129*(1-'5.Closing Stock &amp; W Capital'!$D$16))+(D129*'5.Closing Stock &amp; W Capital'!$D$16))*$C187*G$172</f>
        <v>1393609.9164490518</v>
      </c>
      <c r="H187" s="200">
        <f>((F129*(1-'5.Closing Stock &amp; W Capital'!$D$16))+(E129*'5.Closing Stock &amp; W Capital'!$D$16))*$C187*H$172</f>
        <v>1673835.7953321526</v>
      </c>
      <c r="I187" s="200">
        <f>((G129*(1-'5.Closing Stock &amp; W Capital'!$D$16))+(F129*'5.Closing Stock &amp; W Capital'!$D$16))*$C187*I$172</f>
        <v>1978600.237312441</v>
      </c>
      <c r="J187" s="200">
        <f>((H129*(1-'5.Closing Stock &amp; W Capital'!$D$16))+(G129*'5.Closing Stock &amp; W Capital'!$D$16))*$C187*J$172</f>
        <v>2309656.5340024279</v>
      </c>
      <c r="K187" s="94"/>
      <c r="L187" s="94"/>
    </row>
    <row r="188" spans="1:12">
      <c r="A188" s="95" t="str">
        <f t="shared" si="32"/>
        <v>Bengal Gram/Channa</v>
      </c>
      <c r="B188" s="95" t="s">
        <v>368</v>
      </c>
      <c r="C188" s="261">
        <v>5200</v>
      </c>
      <c r="D188" s="200">
        <f>(B130*(1-'5.Closing Stock &amp; W Capital'!$D$16))*$C188*D$172</f>
        <v>2852293.5534600001</v>
      </c>
      <c r="E188" s="200">
        <f>((C130*(1-'5.Closing Stock &amp; W Capital'!$D$16))+(B130*'5.Closing Stock &amp; W Capital'!$D$16))*$C188*E$172</f>
        <v>3901262.0379232499</v>
      </c>
      <c r="F188" s="200">
        <f>((D130*(1-'5.Closing Stock &amp; W Capital'!$D$16))+(C130*'5.Closing Stock &amp; W Capital'!$D$16))*$C188*F$172</f>
        <v>4923865.5721061621</v>
      </c>
      <c r="G188" s="200">
        <f>((E130*(1-'5.Closing Stock &amp; W Capital'!$D$16))+(D130*'5.Closing Stock &amp; W Capital'!$D$16))*$C188*G$172</f>
        <v>6038976.3046125583</v>
      </c>
      <c r="H188" s="200">
        <f>((F130*(1-'5.Closing Stock &amp; W Capital'!$D$16))+(E130*'5.Closing Stock &amp; W Capital'!$D$16))*$C188*H$172</f>
        <v>7253288.4464393277</v>
      </c>
      <c r="I188" s="200">
        <f>((G130*(1-'5.Closing Stock &amp; W Capital'!$D$16))+(F130*'5.Closing Stock &amp; W Capital'!$D$16))*$C188*I$172</f>
        <v>8573934.3616872448</v>
      </c>
      <c r="J188" s="200">
        <f>((H130*(1-'5.Closing Stock &amp; W Capital'!$D$16))+(G130*'5.Closing Stock &amp; W Capital'!$D$16))*$C188*J$172</f>
        <v>10008511.647343853</v>
      </c>
      <c r="K188" s="94"/>
      <c r="L188" s="94"/>
    </row>
    <row r="189" spans="1:12">
      <c r="A189" s="95" t="str">
        <f t="shared" si="32"/>
        <v>Jawar</v>
      </c>
      <c r="B189" s="95" t="s">
        <v>368</v>
      </c>
      <c r="C189" s="261"/>
      <c r="D189" s="200">
        <f>(B131*(1-'5.Closing Stock &amp; W Capital'!$D$16))*$C189*D$172</f>
        <v>0</v>
      </c>
      <c r="E189" s="200">
        <f>((C131*(1-'5.Closing Stock &amp; W Capital'!$D$16))+(B131*'5.Closing Stock &amp; W Capital'!$D$16))*$C189*E$172</f>
        <v>0</v>
      </c>
      <c r="F189" s="200">
        <f>((D131*(1-'5.Closing Stock &amp; W Capital'!$D$16))+(C131*'5.Closing Stock &amp; W Capital'!$D$16))*$C189*F$172</f>
        <v>0</v>
      </c>
      <c r="G189" s="200">
        <f>((E131*(1-'5.Closing Stock &amp; W Capital'!$D$16))+(D131*'5.Closing Stock &amp; W Capital'!$D$16))*$C189*G$172</f>
        <v>0</v>
      </c>
      <c r="H189" s="200">
        <f>((F131*(1-'5.Closing Stock &amp; W Capital'!$D$16))+(E131*'5.Closing Stock &amp; W Capital'!$D$16))*$C189*H$172</f>
        <v>0</v>
      </c>
      <c r="I189" s="200">
        <f>((G131*(1-'5.Closing Stock &amp; W Capital'!$D$16))+(F131*'5.Closing Stock &amp; W Capital'!$D$16))*$C189*I$172</f>
        <v>0</v>
      </c>
      <c r="J189" s="200">
        <f>((H131*(1-'5.Closing Stock &amp; W Capital'!$D$16))+(G131*'5.Closing Stock &amp; W Capital'!$D$16))*$C189*J$172</f>
        <v>0</v>
      </c>
      <c r="K189" s="94"/>
      <c r="L189" s="94"/>
    </row>
    <row r="190" spans="1:12">
      <c r="A190" s="95" t="str">
        <f t="shared" si="32"/>
        <v>Maize</v>
      </c>
      <c r="B190" s="95" t="s">
        <v>368</v>
      </c>
      <c r="C190" s="261">
        <v>1800</v>
      </c>
      <c r="D190" s="200">
        <f>(B132*(1-'5.Closing Stock &amp; W Capital'!$D$16))*$C190*D$172</f>
        <v>877628.78567999997</v>
      </c>
      <c r="E190" s="200">
        <f>((C132*(1-'5.Closing Stock &amp; W Capital'!$D$16))+(B132*'5.Closing Stock &amp; W Capital'!$D$16))*$C190*E$172</f>
        <v>1200388.3193609996</v>
      </c>
      <c r="F190" s="200">
        <f>((D132*(1-'5.Closing Stock &amp; W Capital'!$D$16))+(C132*'5.Closing Stock &amp; W Capital'!$D$16))*$C190*F$172</f>
        <v>1515035.5606480497</v>
      </c>
      <c r="G190" s="200">
        <f>((E132*(1-'5.Closing Stock &amp; W Capital'!$D$16))+(D132*'5.Closing Stock &amp; W Capital'!$D$16))*$C190*G$172</f>
        <v>1858146.5552654024</v>
      </c>
      <c r="H190" s="200">
        <f>((F132*(1-'5.Closing Stock &amp; W Capital'!$D$16))+(E132*'5.Closing Stock &amp; W Capital'!$D$16))*$C190*H$172</f>
        <v>2231781.06044287</v>
      </c>
      <c r="I190" s="200">
        <f>((G132*(1-'5.Closing Stock &amp; W Capital'!$D$16))+(F132*'5.Closing Stock &amp; W Capital'!$D$16))*$C190*I$172</f>
        <v>2638133.6497499212</v>
      </c>
      <c r="J190" s="200">
        <f>((H132*(1-'5.Closing Stock &amp; W Capital'!$D$16))+(G132*'5.Closing Stock &amp; W Capital'!$D$16))*$C190*J$172</f>
        <v>3079542.0453365697</v>
      </c>
      <c r="K190" s="94"/>
      <c r="L190" s="94"/>
    </row>
    <row r="191" spans="1:12">
      <c r="A191" s="95" t="str">
        <f t="shared" si="32"/>
        <v>Safflower</v>
      </c>
      <c r="B191" s="95" t="s">
        <v>368</v>
      </c>
      <c r="C191" s="261"/>
      <c r="D191" s="200">
        <f>(B133*(1-'5.Closing Stock &amp; W Capital'!$D$16))*$C191*D$172</f>
        <v>0</v>
      </c>
      <c r="E191" s="200">
        <f>((C133*(1-'5.Closing Stock &amp; W Capital'!$D$16))+(B133*'5.Closing Stock &amp; W Capital'!$D$16))*$C191*E$172</f>
        <v>0</v>
      </c>
      <c r="F191" s="200">
        <f>((D133*(1-'5.Closing Stock &amp; W Capital'!$D$16))+(C133*'5.Closing Stock &amp; W Capital'!$D$16))*$C191*F$172</f>
        <v>0</v>
      </c>
      <c r="G191" s="200">
        <f>((E133*(1-'5.Closing Stock &amp; W Capital'!$D$16))+(D133*'5.Closing Stock &amp; W Capital'!$D$16))*$C191*G$172</f>
        <v>0</v>
      </c>
      <c r="H191" s="200">
        <f>((F133*(1-'5.Closing Stock &amp; W Capital'!$D$16))+(E133*'5.Closing Stock &amp; W Capital'!$D$16))*$C191*H$172</f>
        <v>0</v>
      </c>
      <c r="I191" s="200">
        <f>((G133*(1-'5.Closing Stock &amp; W Capital'!$D$16))+(F133*'5.Closing Stock &amp; W Capital'!$D$16))*$C191*I$172</f>
        <v>0</v>
      </c>
      <c r="J191" s="200">
        <f>((H133*(1-'5.Closing Stock &amp; W Capital'!$D$16))+(G133*'5.Closing Stock &amp; W Capital'!$D$16))*$C191*J$172</f>
        <v>0</v>
      </c>
      <c r="K191" s="94"/>
      <c r="L191" s="94"/>
    </row>
    <row r="192" spans="1:12">
      <c r="A192" s="95">
        <f t="shared" si="32"/>
        <v>0</v>
      </c>
      <c r="B192" s="95" t="s">
        <v>368</v>
      </c>
      <c r="C192" s="261"/>
      <c r="D192" s="200">
        <f>(B134*(1-'5.Closing Stock &amp; W Capital'!$D$16))*$C192*D$172</f>
        <v>0</v>
      </c>
      <c r="E192" s="200">
        <f>((C134*(1-'5.Closing Stock &amp; W Capital'!$D$16))+(B134*'5.Closing Stock &amp; W Capital'!$D$16))*$C192*E$172</f>
        <v>0</v>
      </c>
      <c r="F192" s="200">
        <f>((D134*(1-'5.Closing Stock &amp; W Capital'!$D$16))+(C134*'5.Closing Stock &amp; W Capital'!$D$16))*$C192*F$172</f>
        <v>0</v>
      </c>
      <c r="G192" s="200">
        <f>((E134*(1-'5.Closing Stock &amp; W Capital'!$D$16))+(D134*'5.Closing Stock &amp; W Capital'!$D$16))*$C192*G$172</f>
        <v>0</v>
      </c>
      <c r="H192" s="200">
        <f>((F134*(1-'5.Closing Stock &amp; W Capital'!$D$16))+(E134*'5.Closing Stock &amp; W Capital'!$D$16))*$C192*H$172</f>
        <v>0</v>
      </c>
      <c r="I192" s="200">
        <f>((G134*(1-'5.Closing Stock &amp; W Capital'!$D$16))+(F134*'5.Closing Stock &amp; W Capital'!$D$16))*$C192*I$172</f>
        <v>0</v>
      </c>
      <c r="J192" s="200">
        <f>((H134*(1-'5.Closing Stock &amp; W Capital'!$D$16))+(G134*'5.Closing Stock &amp; W Capital'!$D$16))*$C192*J$172</f>
        <v>0</v>
      </c>
      <c r="K192" s="94"/>
      <c r="L192" s="94"/>
    </row>
    <row r="193" spans="1:12">
      <c r="A193" s="95">
        <f t="shared" si="32"/>
        <v>0</v>
      </c>
      <c r="B193" s="95" t="s">
        <v>368</v>
      </c>
      <c r="C193" s="261"/>
      <c r="D193" s="200">
        <f>(B135*(1-'5.Closing Stock &amp; W Capital'!$D$16))*$C193*D$172</f>
        <v>0</v>
      </c>
      <c r="E193" s="200">
        <f>((C135*(1-'5.Closing Stock &amp; W Capital'!$D$16))+(B135*'5.Closing Stock &amp; W Capital'!$D$16))*$C193*E$172</f>
        <v>0</v>
      </c>
      <c r="F193" s="200">
        <f>((D135*(1-'5.Closing Stock &amp; W Capital'!$D$16))+(C135*'5.Closing Stock &amp; W Capital'!$D$16))*$C193*F$172</f>
        <v>0</v>
      </c>
      <c r="G193" s="200">
        <f>((E135*(1-'5.Closing Stock &amp; W Capital'!$D$16))+(D135*'5.Closing Stock &amp; W Capital'!$D$16))*$C193*G$172</f>
        <v>0</v>
      </c>
      <c r="H193" s="200">
        <f>((F135*(1-'5.Closing Stock &amp; W Capital'!$D$16))+(E135*'5.Closing Stock &amp; W Capital'!$D$16))*$C193*H$172</f>
        <v>0</v>
      </c>
      <c r="I193" s="200">
        <f>((G135*(1-'5.Closing Stock &amp; W Capital'!$D$16))+(F135*'5.Closing Stock &amp; W Capital'!$D$16))*$C193*I$172</f>
        <v>0</v>
      </c>
      <c r="J193" s="200">
        <f>((H135*(1-'5.Closing Stock &amp; W Capital'!$D$16))+(G135*'5.Closing Stock &amp; W Capital'!$D$16))*$C193*J$172</f>
        <v>0</v>
      </c>
      <c r="K193" s="94"/>
      <c r="L193" s="94"/>
    </row>
    <row r="194" spans="1:12">
      <c r="A194" s="95">
        <f t="shared" si="32"/>
        <v>0</v>
      </c>
      <c r="B194" s="95" t="s">
        <v>368</v>
      </c>
      <c r="C194" s="261"/>
      <c r="D194" s="200">
        <f>(B136*(1-'5.Closing Stock &amp; W Capital'!$D$16))*$C194*D$172</f>
        <v>0</v>
      </c>
      <c r="E194" s="200">
        <f>((C136*(1-'5.Closing Stock &amp; W Capital'!$D$16))+(B136*'5.Closing Stock &amp; W Capital'!$D$16))*$C194*E$172</f>
        <v>0</v>
      </c>
      <c r="F194" s="200">
        <f>((D136*(1-'5.Closing Stock &amp; W Capital'!$D$16))+(C136*'5.Closing Stock &amp; W Capital'!$D$16))*$C194*F$172</f>
        <v>0</v>
      </c>
      <c r="G194" s="200">
        <f>((E136*(1-'5.Closing Stock &amp; W Capital'!$D$16))+(D136*'5.Closing Stock &amp; W Capital'!$D$16))*$C194*G$172</f>
        <v>0</v>
      </c>
      <c r="H194" s="200">
        <f>((F136*(1-'5.Closing Stock &amp; W Capital'!$D$16))+(E136*'5.Closing Stock &amp; W Capital'!$D$16))*$C194*H$172</f>
        <v>0</v>
      </c>
      <c r="I194" s="200">
        <f>((G136*(1-'5.Closing Stock &amp; W Capital'!$D$16))+(F136*'5.Closing Stock &amp; W Capital'!$D$16))*$C194*I$172</f>
        <v>0</v>
      </c>
      <c r="J194" s="200">
        <f>((H136*(1-'5.Closing Stock &amp; W Capital'!$D$16))+(G136*'5.Closing Stock &amp; W Capital'!$D$16))*$C194*J$172</f>
        <v>0</v>
      </c>
      <c r="K194" s="94"/>
      <c r="L194" s="94"/>
    </row>
    <row r="195" spans="1:12">
      <c r="A195" s="95" t="str">
        <f t="shared" si="32"/>
        <v>Groundnut</v>
      </c>
      <c r="B195" s="95" t="s">
        <v>368</v>
      </c>
      <c r="C195" s="261"/>
      <c r="D195" s="200">
        <f>(B137*(1-'5.Closing Stock &amp; W Capital'!$D$16))*$C195*D$172</f>
        <v>0</v>
      </c>
      <c r="E195" s="200">
        <f>((C137*(1-'5.Closing Stock &amp; W Capital'!$D$16))+(B137*'5.Closing Stock &amp; W Capital'!$D$16))*$C195*E$172</f>
        <v>0</v>
      </c>
      <c r="F195" s="200">
        <f>((D137*(1-'5.Closing Stock &amp; W Capital'!$D$16))+(C137*'5.Closing Stock &amp; W Capital'!$D$16))*$C195*F$172</f>
        <v>0</v>
      </c>
      <c r="G195" s="200">
        <f>((E137*(1-'5.Closing Stock &amp; W Capital'!$D$16))+(D137*'5.Closing Stock &amp; W Capital'!$D$16))*$C195*G$172</f>
        <v>0</v>
      </c>
      <c r="H195" s="200">
        <f>((F137*(1-'5.Closing Stock &amp; W Capital'!$D$16))+(E137*'5.Closing Stock &amp; W Capital'!$D$16))*$C195*H$172</f>
        <v>0</v>
      </c>
      <c r="I195" s="200">
        <f>((G137*(1-'5.Closing Stock &amp; W Capital'!$D$16))+(F137*'5.Closing Stock &amp; W Capital'!$D$16))*$C195*I$172</f>
        <v>0</v>
      </c>
      <c r="J195" s="200">
        <f>((H137*(1-'5.Closing Stock &amp; W Capital'!$D$16))+(G137*'5.Closing Stock &amp; W Capital'!$D$16))*$C195*J$172</f>
        <v>0</v>
      </c>
      <c r="K195" s="94"/>
      <c r="L195" s="94"/>
    </row>
    <row r="196" spans="1:12">
      <c r="A196" s="95">
        <f t="shared" si="32"/>
        <v>0</v>
      </c>
      <c r="B196" s="95" t="s">
        <v>368</v>
      </c>
      <c r="C196" s="261"/>
      <c r="D196" s="200">
        <f>(B138*(1-'5.Closing Stock &amp; W Capital'!$D$16))*$C196*D$172</f>
        <v>0</v>
      </c>
      <c r="E196" s="200">
        <f>((C138*(1-'5.Closing Stock &amp; W Capital'!$D$16))+(B138*'5.Closing Stock &amp; W Capital'!$D$16))*$C196*E$172</f>
        <v>0</v>
      </c>
      <c r="F196" s="200">
        <f>((D138*(1-'5.Closing Stock &amp; W Capital'!$D$16))+(C138*'5.Closing Stock &amp; W Capital'!$D$16))*$C196*F$172</f>
        <v>0</v>
      </c>
      <c r="G196" s="200">
        <f>((E138*(1-'5.Closing Stock &amp; W Capital'!$D$16))+(D138*'5.Closing Stock &amp; W Capital'!$D$16))*$C196*G$172</f>
        <v>0</v>
      </c>
      <c r="H196" s="200">
        <f>((F138*(1-'5.Closing Stock &amp; W Capital'!$D$16))+(E138*'5.Closing Stock &amp; W Capital'!$D$16))*$C196*H$172</f>
        <v>0</v>
      </c>
      <c r="I196" s="200">
        <f>((G138*(1-'5.Closing Stock &amp; W Capital'!$D$16))+(F138*'5.Closing Stock &amp; W Capital'!$D$16))*$C196*I$172</f>
        <v>0</v>
      </c>
      <c r="J196" s="200">
        <f>((H138*(1-'5.Closing Stock &amp; W Capital'!$D$16))+(G138*'5.Closing Stock &amp; W Capital'!$D$16))*$C196*J$172</f>
        <v>0</v>
      </c>
      <c r="K196" s="94"/>
      <c r="L196" s="94"/>
    </row>
    <row r="197" spans="1:12">
      <c r="A197" s="95">
        <f t="shared" si="32"/>
        <v>0</v>
      </c>
      <c r="B197" s="95" t="s">
        <v>368</v>
      </c>
      <c r="C197" s="261"/>
      <c r="D197" s="200">
        <f>(B139*(1-'5.Closing Stock &amp; W Capital'!$D$16))*$C197*D$172</f>
        <v>0</v>
      </c>
      <c r="E197" s="200">
        <f>((C139*(1-'5.Closing Stock &amp; W Capital'!$D$16))+(B139*'5.Closing Stock &amp; W Capital'!$D$16))*$C197*E$172</f>
        <v>0</v>
      </c>
      <c r="F197" s="200">
        <f>((D139*(1-'5.Closing Stock &amp; W Capital'!$D$16))+(C139*'5.Closing Stock &amp; W Capital'!$D$16))*$C197*F$172</f>
        <v>0</v>
      </c>
      <c r="G197" s="200">
        <f>((E139*(1-'5.Closing Stock &amp; W Capital'!$D$16))+(D139*'5.Closing Stock &amp; W Capital'!$D$16))*$C197*G$172</f>
        <v>0</v>
      </c>
      <c r="H197" s="200">
        <f>((F139*(1-'5.Closing Stock &amp; W Capital'!$D$16))+(E139*'5.Closing Stock &amp; W Capital'!$D$16))*$C197*H$172</f>
        <v>0</v>
      </c>
      <c r="I197" s="200">
        <f>((G139*(1-'5.Closing Stock &amp; W Capital'!$D$16))+(F139*'5.Closing Stock &amp; W Capital'!$D$16))*$C197*I$172</f>
        <v>0</v>
      </c>
      <c r="J197" s="200">
        <f>((H139*(1-'5.Closing Stock &amp; W Capital'!$D$16))+(G139*'5.Closing Stock &amp; W Capital'!$D$16))*$C197*J$172</f>
        <v>0</v>
      </c>
      <c r="K197" s="94"/>
      <c r="L197" s="94"/>
    </row>
    <row r="198" spans="1:12">
      <c r="A198" s="95">
        <f t="shared" si="32"/>
        <v>0</v>
      </c>
      <c r="B198" s="95" t="s">
        <v>368</v>
      </c>
      <c r="C198" s="261"/>
      <c r="D198" s="200">
        <f>(B140*(1-'5.Closing Stock &amp; W Capital'!$D$16))*$C198*D$172</f>
        <v>0</v>
      </c>
      <c r="E198" s="200">
        <f>((C140*(1-'5.Closing Stock &amp; W Capital'!$D$16))+(B140*'5.Closing Stock &amp; W Capital'!$D$16))*$C198*E$172</f>
        <v>0</v>
      </c>
      <c r="F198" s="200">
        <f>((D140*(1-'5.Closing Stock &amp; W Capital'!$D$16))+(C140*'5.Closing Stock &amp; W Capital'!$D$16))*$C198*F$172</f>
        <v>0</v>
      </c>
      <c r="G198" s="200">
        <f>((E140*(1-'5.Closing Stock &amp; W Capital'!$D$16))+(D140*'5.Closing Stock &amp; W Capital'!$D$16))*$C198*G$172</f>
        <v>0</v>
      </c>
      <c r="H198" s="200">
        <f>((F140*(1-'5.Closing Stock &amp; W Capital'!$D$16))+(E140*'5.Closing Stock &amp; W Capital'!$D$16))*$C198*H$172</f>
        <v>0</v>
      </c>
      <c r="I198" s="200">
        <f>((G140*(1-'5.Closing Stock &amp; W Capital'!$D$16))+(F140*'5.Closing Stock &amp; W Capital'!$D$16))*$C198*I$172</f>
        <v>0</v>
      </c>
      <c r="J198" s="200">
        <f>((H140*(1-'5.Closing Stock &amp; W Capital'!$D$16))+(G140*'5.Closing Stock &amp; W Capital'!$D$16))*$C198*J$172</f>
        <v>0</v>
      </c>
      <c r="K198" s="94"/>
      <c r="L198" s="94"/>
    </row>
    <row r="199" spans="1:12">
      <c r="A199" s="95"/>
      <c r="B199" s="95" t="s">
        <v>368</v>
      </c>
      <c r="C199" s="261"/>
      <c r="D199" s="200">
        <f>(B141*(1-'5.Closing Stock &amp; W Capital'!$D$16))*$C199*D$172</f>
        <v>0</v>
      </c>
      <c r="E199" s="200">
        <f>((C141*(1-'5.Closing Stock &amp; W Capital'!$D$16))+(B141*'5.Closing Stock &amp; W Capital'!$D$16))*$C199*E$172</f>
        <v>0</v>
      </c>
      <c r="F199" s="200">
        <f>((D141*(1-'5.Closing Stock &amp; W Capital'!$D$16))+(C141*'5.Closing Stock &amp; W Capital'!$D$16))*$C199*F$172</f>
        <v>0</v>
      </c>
      <c r="G199" s="200">
        <f>((E141*(1-'5.Closing Stock &amp; W Capital'!$D$16))+(D141*'5.Closing Stock &amp; W Capital'!$D$16))*$C199*G$172</f>
        <v>0</v>
      </c>
      <c r="H199" s="200">
        <f>((F141*(1-'5.Closing Stock &amp; W Capital'!$D$16))+(E141*'5.Closing Stock &amp; W Capital'!$D$16))*$C199*H$172</f>
        <v>0</v>
      </c>
      <c r="I199" s="200">
        <f>((G141*(1-'5.Closing Stock &amp; W Capital'!$D$16))+(F141*'5.Closing Stock &amp; W Capital'!$D$16))*$C199*I$172</f>
        <v>0</v>
      </c>
      <c r="J199" s="200">
        <f>((H141*(1-'5.Closing Stock &amp; W Capital'!$D$16))+(G141*'5.Closing Stock &amp; W Capital'!$D$16))*$C199*J$172</f>
        <v>0</v>
      </c>
      <c r="K199" s="94"/>
      <c r="L199" s="94"/>
    </row>
    <row r="200" spans="1:12">
      <c r="A200" s="97" t="s">
        <v>298</v>
      </c>
      <c r="B200" s="95" t="s">
        <v>368</v>
      </c>
      <c r="C200" s="238">
        <v>50</v>
      </c>
      <c r="D200" s="200">
        <f t="shared" ref="D200:J200" si="33">B65*$C$200*D172</f>
        <v>349849.56089999998</v>
      </c>
      <c r="E200" s="200">
        <f t="shared" si="33"/>
        <v>459177.54868125002</v>
      </c>
      <c r="F200" s="200">
        <f t="shared" si="33"/>
        <v>578563.711338375</v>
      </c>
      <c r="G200" s="200">
        <f t="shared" si="33"/>
        <v>708740.54638950946</v>
      </c>
      <c r="H200" s="200">
        <f t="shared" si="33"/>
        <v>850488.6556674114</v>
      </c>
      <c r="I200" s="200">
        <f t="shared" si="33"/>
        <v>1004639.7245071298</v>
      </c>
      <c r="J200" s="200">
        <f t="shared" si="33"/>
        <v>1172079.6785916511</v>
      </c>
      <c r="K200" s="94"/>
      <c r="L200" s="94"/>
    </row>
    <row r="201" spans="1:12">
      <c r="A201" s="97"/>
      <c r="B201" s="97"/>
      <c r="C201" s="97"/>
      <c r="D201" s="95"/>
      <c r="E201" s="95"/>
      <c r="F201" s="95"/>
      <c r="G201" s="95"/>
      <c r="H201" s="95"/>
      <c r="I201" s="95"/>
      <c r="J201" s="95"/>
      <c r="K201" s="94"/>
      <c r="L201" s="94"/>
    </row>
    <row r="202" spans="1:12">
      <c r="A202" s="97" t="str">
        <f t="shared" ref="A202:A220" si="34">A143</f>
        <v>Fruit  &amp; Vegetables Crop Production Details</v>
      </c>
      <c r="B202" s="97"/>
      <c r="C202" s="97"/>
      <c r="D202" s="95"/>
      <c r="E202" s="95"/>
      <c r="F202" s="95"/>
      <c r="G202" s="95"/>
      <c r="H202" s="95"/>
      <c r="I202" s="95"/>
      <c r="J202" s="95"/>
      <c r="K202" s="94"/>
      <c r="L202" s="94"/>
    </row>
    <row r="203" spans="1:12">
      <c r="A203" s="97" t="str">
        <f>A144</f>
        <v>Onion</v>
      </c>
      <c r="B203" s="95" t="s">
        <v>368</v>
      </c>
      <c r="C203" s="348">
        <v>2000</v>
      </c>
      <c r="D203" s="200">
        <f>(B144*(1-'5.Closing Stock &amp; W Capital'!$D$16))*$C203*D$172</f>
        <v>0</v>
      </c>
      <c r="E203" s="200">
        <f>((C144*(1-'5.Closing Stock &amp; W Capital'!$D$16))+(B144*'5.Closing Stock &amp; W Capital'!$D$16))*$C203*E$172</f>
        <v>0</v>
      </c>
      <c r="F203" s="200">
        <f>((D144*(1-'5.Closing Stock &amp; W Capital'!$D$16))+(C144*'5.Closing Stock &amp; W Capital'!$D$16))*$C203*F$172</f>
        <v>0</v>
      </c>
      <c r="G203" s="200">
        <f>((E144*(1-'5.Closing Stock &amp; W Capital'!$D$16))+(D144*'5.Closing Stock &amp; W Capital'!$D$16))*$C203*G$172</f>
        <v>0</v>
      </c>
      <c r="H203" s="200">
        <f>((F144*(1-'5.Closing Stock &amp; W Capital'!$D$16))+(E144*'5.Closing Stock &amp; W Capital'!$D$16))*$C203*H$172</f>
        <v>0</v>
      </c>
      <c r="I203" s="200">
        <f>((G144*(1-'5.Closing Stock &amp; W Capital'!$D$16))+(F144*'5.Closing Stock &amp; W Capital'!$D$16))*$C203*I$172</f>
        <v>0</v>
      </c>
      <c r="J203" s="200">
        <f>((H144*(1-'5.Closing Stock &amp; W Capital'!$D$16))+(G144*'5.Closing Stock &amp; W Capital'!$D$16))*$C203*J$172</f>
        <v>0</v>
      </c>
      <c r="K203" s="94"/>
      <c r="L203" s="94"/>
    </row>
    <row r="204" spans="1:12">
      <c r="A204" s="97" t="str">
        <f t="shared" si="34"/>
        <v>Tomato</v>
      </c>
      <c r="B204" s="95" t="s">
        <v>368</v>
      </c>
      <c r="C204" s="261">
        <v>1000</v>
      </c>
      <c r="D204" s="200">
        <f>(B145*(1-'5.Closing Stock &amp; W Capital'!$D$16))*$C204*D$172</f>
        <v>0</v>
      </c>
      <c r="E204" s="200">
        <f>((C145*(1-'5.Closing Stock &amp; W Capital'!$D$16))+(B145*'5.Closing Stock &amp; W Capital'!$D$16))*$C204*E$172</f>
        <v>0</v>
      </c>
      <c r="F204" s="200">
        <f>((D145*(1-'5.Closing Stock &amp; W Capital'!$D$16))+(C145*'5.Closing Stock &amp; W Capital'!$D$16))*$C204*F$172</f>
        <v>0</v>
      </c>
      <c r="G204" s="200">
        <f>((E145*(1-'5.Closing Stock &amp; W Capital'!$D$16))+(D145*'5.Closing Stock &amp; W Capital'!$D$16))*$C204*G$172</f>
        <v>0</v>
      </c>
      <c r="H204" s="200">
        <f>((F145*(1-'5.Closing Stock &amp; W Capital'!$D$16))+(E145*'5.Closing Stock &amp; W Capital'!$D$16))*$C204*H$172</f>
        <v>0</v>
      </c>
      <c r="I204" s="200">
        <f>((G145*(1-'5.Closing Stock &amp; W Capital'!$D$16))+(F145*'5.Closing Stock &amp; W Capital'!$D$16))*$C204*I$172</f>
        <v>0</v>
      </c>
      <c r="J204" s="200">
        <f>((H145*(1-'5.Closing Stock &amp; W Capital'!$D$16))+(G145*'5.Closing Stock &amp; W Capital'!$D$16))*$C204*J$172</f>
        <v>0</v>
      </c>
      <c r="K204" s="94"/>
      <c r="L204" s="94"/>
    </row>
    <row r="205" spans="1:12">
      <c r="A205" s="97" t="str">
        <f t="shared" si="34"/>
        <v>Okra</v>
      </c>
      <c r="B205" s="95" t="s">
        <v>368</v>
      </c>
      <c r="C205" s="261">
        <v>1500</v>
      </c>
      <c r="D205" s="200">
        <f>(B146*(1-'5.Closing Stock &amp; W Capital'!$D$16))*$C205*D$172</f>
        <v>0</v>
      </c>
      <c r="E205" s="200">
        <f>((C146*(1-'5.Closing Stock &amp; W Capital'!$D$16))+(B146*'5.Closing Stock &amp; W Capital'!$D$16))*$C205*E$172</f>
        <v>0</v>
      </c>
      <c r="F205" s="200">
        <f>((D146*(1-'5.Closing Stock &amp; W Capital'!$D$16))+(C146*'5.Closing Stock &amp; W Capital'!$D$16))*$C205*F$172</f>
        <v>0</v>
      </c>
      <c r="G205" s="200">
        <f>((E146*(1-'5.Closing Stock &amp; W Capital'!$D$16))+(D146*'5.Closing Stock &amp; W Capital'!$D$16))*$C205*G$172</f>
        <v>0</v>
      </c>
      <c r="H205" s="200">
        <f>((F146*(1-'5.Closing Stock &amp; W Capital'!$D$16))+(E146*'5.Closing Stock &amp; W Capital'!$D$16))*$C205*H$172</f>
        <v>0</v>
      </c>
      <c r="I205" s="200">
        <f>((G146*(1-'5.Closing Stock &amp; W Capital'!$D$16))+(F146*'5.Closing Stock &amp; W Capital'!$D$16))*$C205*I$172</f>
        <v>0</v>
      </c>
      <c r="J205" s="200">
        <f>((H146*(1-'5.Closing Stock &amp; W Capital'!$D$16))+(G146*'5.Closing Stock &amp; W Capital'!$D$16))*$C205*J$172</f>
        <v>0</v>
      </c>
      <c r="K205" s="94"/>
      <c r="L205" s="94"/>
    </row>
    <row r="206" spans="1:12">
      <c r="A206" s="97" t="str">
        <f t="shared" si="34"/>
        <v>Chilli</v>
      </c>
      <c r="B206" s="95" t="s">
        <v>368</v>
      </c>
      <c r="C206" s="261">
        <v>3000</v>
      </c>
      <c r="D206" s="200">
        <f>(B147*(1-'5.Closing Stock &amp; W Capital'!$D$16))*$C206*D$172</f>
        <v>0</v>
      </c>
      <c r="E206" s="200">
        <f>((C147*(1-'5.Closing Stock &amp; W Capital'!$D$16))+(B147*'5.Closing Stock &amp; W Capital'!$D$16))*$C206*E$172</f>
        <v>0</v>
      </c>
      <c r="F206" s="200">
        <f>((D147*(1-'5.Closing Stock &amp; W Capital'!$D$16))+(C147*'5.Closing Stock &amp; W Capital'!$D$16))*$C206*F$172</f>
        <v>0</v>
      </c>
      <c r="G206" s="200">
        <f>((E147*(1-'5.Closing Stock &amp; W Capital'!$D$16))+(D147*'5.Closing Stock &amp; W Capital'!$D$16))*$C206*G$172</f>
        <v>0</v>
      </c>
      <c r="H206" s="200">
        <f>((F147*(1-'5.Closing Stock &amp; W Capital'!$D$16))+(E147*'5.Closing Stock &amp; W Capital'!$D$16))*$C206*H$172</f>
        <v>0</v>
      </c>
      <c r="I206" s="200">
        <f>((G147*(1-'5.Closing Stock &amp; W Capital'!$D$16))+(F147*'5.Closing Stock &amp; W Capital'!$D$16))*$C206*I$172</f>
        <v>0</v>
      </c>
      <c r="J206" s="200">
        <f>((H147*(1-'5.Closing Stock &amp; W Capital'!$D$16))+(G147*'5.Closing Stock &amp; W Capital'!$D$16))*$C206*J$172</f>
        <v>0</v>
      </c>
      <c r="K206" s="94"/>
      <c r="L206" s="94"/>
    </row>
    <row r="207" spans="1:12">
      <c r="A207" s="97" t="str">
        <f t="shared" si="34"/>
        <v>Potato</v>
      </c>
      <c r="B207" s="95" t="s">
        <v>368</v>
      </c>
      <c r="C207" s="261">
        <v>1500</v>
      </c>
      <c r="D207" s="200">
        <f>(B148*(1-'5.Closing Stock &amp; W Capital'!$D$16))*$C207*D$172</f>
        <v>0</v>
      </c>
      <c r="E207" s="200">
        <f>((C148*(1-'5.Closing Stock &amp; W Capital'!$D$16))+(B148*'5.Closing Stock &amp; W Capital'!$D$16))*$C207*E$172</f>
        <v>0</v>
      </c>
      <c r="F207" s="200">
        <f>((D148*(1-'5.Closing Stock &amp; W Capital'!$D$16))+(C148*'5.Closing Stock &amp; W Capital'!$D$16))*$C207*F$172</f>
        <v>0</v>
      </c>
      <c r="G207" s="200">
        <f>((E148*(1-'5.Closing Stock &amp; W Capital'!$D$16))+(D148*'5.Closing Stock &amp; W Capital'!$D$16))*$C207*G$172</f>
        <v>0</v>
      </c>
      <c r="H207" s="200">
        <f>((F148*(1-'5.Closing Stock &amp; W Capital'!$D$16))+(E148*'5.Closing Stock &amp; W Capital'!$D$16))*$C207*H$172</f>
        <v>0</v>
      </c>
      <c r="I207" s="200">
        <f>((G148*(1-'5.Closing Stock &amp; W Capital'!$D$16))+(F148*'5.Closing Stock &amp; W Capital'!$D$16))*$C207*I$172</f>
        <v>0</v>
      </c>
      <c r="J207" s="200">
        <f>((H148*(1-'5.Closing Stock &amp; W Capital'!$D$16))+(G148*'5.Closing Stock &amp; W Capital'!$D$16))*$C207*J$172</f>
        <v>0</v>
      </c>
      <c r="K207" s="94"/>
      <c r="L207" s="94"/>
    </row>
    <row r="208" spans="1:12">
      <c r="A208" s="97">
        <f t="shared" si="34"/>
        <v>0</v>
      </c>
      <c r="B208" s="95" t="s">
        <v>368</v>
      </c>
      <c r="C208" s="238"/>
      <c r="D208" s="200">
        <f>(B149*(1-'5.Closing Stock &amp; W Capital'!$D$16))*$C208*D$172</f>
        <v>0</v>
      </c>
      <c r="E208" s="200">
        <f>((C149*(1-'5.Closing Stock &amp; W Capital'!$D$16))+(B149*'5.Closing Stock &amp; W Capital'!$D$16))*$C208*E$172</f>
        <v>0</v>
      </c>
      <c r="F208" s="200">
        <f>((D149*(1-'5.Closing Stock &amp; W Capital'!$D$16))+(C149*'5.Closing Stock &amp; W Capital'!$D$16))*$C208*F$172</f>
        <v>0</v>
      </c>
      <c r="G208" s="200">
        <f>((E149*(1-'5.Closing Stock &amp; W Capital'!$D$16))+(D149*'5.Closing Stock &amp; W Capital'!$D$16))*$C208*G$172</f>
        <v>0</v>
      </c>
      <c r="H208" s="200">
        <f>((F149*(1-'5.Closing Stock &amp; W Capital'!$D$16))+(E149*'5.Closing Stock &amp; W Capital'!$D$16))*$C208*H$172</f>
        <v>0</v>
      </c>
      <c r="I208" s="200">
        <f>((G149*(1-'5.Closing Stock &amp; W Capital'!$D$16))+(F149*'5.Closing Stock &amp; W Capital'!$D$16))*$C208*I$172</f>
        <v>0</v>
      </c>
      <c r="J208" s="200">
        <f>((H149*(1-'5.Closing Stock &amp; W Capital'!$D$16))+(G149*'5.Closing Stock &amp; W Capital'!$D$16))*$C208*J$172</f>
        <v>0</v>
      </c>
      <c r="K208" s="94"/>
      <c r="L208" s="94"/>
    </row>
    <row r="209" spans="1:12">
      <c r="A209" s="97">
        <f t="shared" si="34"/>
        <v>0</v>
      </c>
      <c r="B209" s="95" t="s">
        <v>368</v>
      </c>
      <c r="C209" s="238"/>
      <c r="D209" s="200">
        <f>(B150*(1-'5.Closing Stock &amp; W Capital'!$D$16))*$C209*D$172</f>
        <v>0</v>
      </c>
      <c r="E209" s="200">
        <f>((C150*(1-'5.Closing Stock &amp; W Capital'!$D$16))+(B150*'5.Closing Stock &amp; W Capital'!$D$16))*$C209*E$172</f>
        <v>0</v>
      </c>
      <c r="F209" s="200">
        <f>((D150*(1-'5.Closing Stock &amp; W Capital'!$D$16))+(C150*'5.Closing Stock &amp; W Capital'!$D$16))*$C209*F$172</f>
        <v>0</v>
      </c>
      <c r="G209" s="200">
        <f>((E150*(1-'5.Closing Stock &amp; W Capital'!$D$16))+(D150*'5.Closing Stock &amp; W Capital'!$D$16))*$C209*G$172</f>
        <v>0</v>
      </c>
      <c r="H209" s="200">
        <f>((F150*(1-'5.Closing Stock &amp; W Capital'!$D$16))+(E150*'5.Closing Stock &amp; W Capital'!$D$16))*$C209*H$172</f>
        <v>0</v>
      </c>
      <c r="I209" s="200">
        <f>((G150*(1-'5.Closing Stock &amp; W Capital'!$D$16))+(F150*'5.Closing Stock &amp; W Capital'!$D$16))*$C209*I$172</f>
        <v>0</v>
      </c>
      <c r="J209" s="200">
        <f>((H150*(1-'5.Closing Stock &amp; W Capital'!$D$16))+(G150*'5.Closing Stock &amp; W Capital'!$D$16))*$C209*J$172</f>
        <v>0</v>
      </c>
      <c r="K209" s="94"/>
      <c r="L209" s="94"/>
    </row>
    <row r="210" spans="1:12">
      <c r="A210" s="97">
        <f t="shared" si="34"/>
        <v>0</v>
      </c>
      <c r="B210" s="95" t="s">
        <v>368</v>
      </c>
      <c r="C210" s="238"/>
      <c r="D210" s="200">
        <f>(B151*(1-'5.Closing Stock &amp; W Capital'!$D$16))*$C210*D$172</f>
        <v>0</v>
      </c>
      <c r="E210" s="200">
        <f>((C151*(1-'5.Closing Stock &amp; W Capital'!$D$16))+(B151*'5.Closing Stock &amp; W Capital'!$D$16))*$C210*E$172</f>
        <v>0</v>
      </c>
      <c r="F210" s="200">
        <f>((D151*(1-'5.Closing Stock &amp; W Capital'!$D$16))+(C151*'5.Closing Stock &amp; W Capital'!$D$16))*$C210*F$172</f>
        <v>0</v>
      </c>
      <c r="G210" s="200">
        <f>((E151*(1-'5.Closing Stock &amp; W Capital'!$D$16))+(D151*'5.Closing Stock &amp; W Capital'!$D$16))*$C210*G$172</f>
        <v>0</v>
      </c>
      <c r="H210" s="200">
        <f>((F151*(1-'5.Closing Stock &amp; W Capital'!$D$16))+(E151*'5.Closing Stock &amp; W Capital'!$D$16))*$C210*H$172</f>
        <v>0</v>
      </c>
      <c r="I210" s="200">
        <f>((G151*(1-'5.Closing Stock &amp; W Capital'!$D$16))+(F151*'5.Closing Stock &amp; W Capital'!$D$16))*$C210*I$172</f>
        <v>0</v>
      </c>
      <c r="J210" s="200">
        <f>((H151*(1-'5.Closing Stock &amp; W Capital'!$D$16))+(G151*'5.Closing Stock &amp; W Capital'!$D$16))*$C210*J$172</f>
        <v>0</v>
      </c>
      <c r="K210" s="94"/>
      <c r="L210" s="94"/>
    </row>
    <row r="211" spans="1:12">
      <c r="A211" s="97">
        <f t="shared" si="34"/>
        <v>0</v>
      </c>
      <c r="B211" s="95" t="s">
        <v>368</v>
      </c>
      <c r="C211" s="238"/>
      <c r="D211" s="200">
        <f>(B152*(1-'5.Closing Stock &amp; W Capital'!$D$16))*$C211*D$172</f>
        <v>0</v>
      </c>
      <c r="E211" s="200">
        <f>((C152*(1-'5.Closing Stock &amp; W Capital'!$D$16))+(B152*'5.Closing Stock &amp; W Capital'!$D$16))*$C211*E$172</f>
        <v>0</v>
      </c>
      <c r="F211" s="200">
        <f>((D152*(1-'5.Closing Stock &amp; W Capital'!$D$16))+(C152*'5.Closing Stock &amp; W Capital'!$D$16))*$C211*F$172</f>
        <v>0</v>
      </c>
      <c r="G211" s="200">
        <f>((E152*(1-'5.Closing Stock &amp; W Capital'!$D$16))+(D152*'5.Closing Stock &amp; W Capital'!$D$16))*$C211*G$172</f>
        <v>0</v>
      </c>
      <c r="H211" s="200">
        <f>((F152*(1-'5.Closing Stock &amp; W Capital'!$D$16))+(E152*'5.Closing Stock &amp; W Capital'!$D$16))*$C211*H$172</f>
        <v>0</v>
      </c>
      <c r="I211" s="200">
        <f>((G152*(1-'5.Closing Stock &amp; W Capital'!$D$16))+(F152*'5.Closing Stock &amp; W Capital'!$D$16))*$C211*I$172</f>
        <v>0</v>
      </c>
      <c r="J211" s="200">
        <f>((H152*(1-'5.Closing Stock &amp; W Capital'!$D$16))+(G152*'5.Closing Stock &amp; W Capital'!$D$16))*$C211*J$172</f>
        <v>0</v>
      </c>
      <c r="K211" s="94"/>
      <c r="L211" s="94"/>
    </row>
    <row r="212" spans="1:12">
      <c r="A212" s="97" t="str">
        <f t="shared" si="34"/>
        <v>Onion</v>
      </c>
      <c r="B212" s="95" t="s">
        <v>368</v>
      </c>
      <c r="C212" s="261">
        <v>2000</v>
      </c>
      <c r="D212" s="200">
        <f>(B153*(1-'5.Closing Stock &amp; W Capital'!$D$16))*$C212*D$172</f>
        <v>0</v>
      </c>
      <c r="E212" s="200">
        <f>((C153*(1-'5.Closing Stock &amp; W Capital'!$D$16))+(B153*'5.Closing Stock &amp; W Capital'!$D$16))*$C212*E$172</f>
        <v>0</v>
      </c>
      <c r="F212" s="200">
        <f>((D153*(1-'5.Closing Stock &amp; W Capital'!$D$16))+(C153*'5.Closing Stock &amp; W Capital'!$D$16))*$C212*F$172</f>
        <v>0</v>
      </c>
      <c r="G212" s="200">
        <f>((E153*(1-'5.Closing Stock &amp; W Capital'!$D$16))+(D153*'5.Closing Stock &amp; W Capital'!$D$16))*$C212*G$172</f>
        <v>0</v>
      </c>
      <c r="H212" s="200">
        <f>((F153*(1-'5.Closing Stock &amp; W Capital'!$D$16))+(E153*'5.Closing Stock &amp; W Capital'!$D$16))*$C212*H$172</f>
        <v>0</v>
      </c>
      <c r="I212" s="200">
        <f>((G153*(1-'5.Closing Stock &amp; W Capital'!$D$16))+(F153*'5.Closing Stock &amp; W Capital'!$D$16))*$C212*I$172</f>
        <v>0</v>
      </c>
      <c r="J212" s="200">
        <f>((H153*(1-'5.Closing Stock &amp; W Capital'!$D$16))+(G153*'5.Closing Stock &amp; W Capital'!$D$16))*$C212*J$172</f>
        <v>0</v>
      </c>
      <c r="K212" s="94"/>
      <c r="L212" s="94"/>
    </row>
    <row r="213" spans="1:12">
      <c r="A213" s="97" t="str">
        <f t="shared" si="34"/>
        <v>Tomato</v>
      </c>
      <c r="B213" s="95" t="s">
        <v>368</v>
      </c>
      <c r="C213" s="261">
        <v>1000</v>
      </c>
      <c r="D213" s="200">
        <f>(B154*(1-'5.Closing Stock &amp; W Capital'!$D$16))*$C213*D$172</f>
        <v>0</v>
      </c>
      <c r="E213" s="200">
        <f>((C154*(1-'5.Closing Stock &amp; W Capital'!$D$16))+(B154*'5.Closing Stock &amp; W Capital'!$D$16))*$C213*E$172</f>
        <v>0</v>
      </c>
      <c r="F213" s="200">
        <f>((D154*(1-'5.Closing Stock &amp; W Capital'!$D$16))+(C154*'5.Closing Stock &amp; W Capital'!$D$16))*$C213*F$172</f>
        <v>0</v>
      </c>
      <c r="G213" s="200">
        <f>((E154*(1-'5.Closing Stock &amp; W Capital'!$D$16))+(D154*'5.Closing Stock &amp; W Capital'!$D$16))*$C213*G$172</f>
        <v>0</v>
      </c>
      <c r="H213" s="200">
        <f>((F154*(1-'5.Closing Stock &amp; W Capital'!$D$16))+(E154*'5.Closing Stock &amp; W Capital'!$D$16))*$C213*H$172</f>
        <v>0</v>
      </c>
      <c r="I213" s="200">
        <f>((G154*(1-'5.Closing Stock &amp; W Capital'!$D$16))+(F154*'5.Closing Stock &amp; W Capital'!$D$16))*$C213*I$172</f>
        <v>0</v>
      </c>
      <c r="J213" s="200">
        <f>((H154*(1-'5.Closing Stock &amp; W Capital'!$D$16))+(G154*'5.Closing Stock &amp; W Capital'!$D$16))*$C213*J$172</f>
        <v>0</v>
      </c>
      <c r="K213" s="94"/>
      <c r="L213" s="94"/>
    </row>
    <row r="214" spans="1:12">
      <c r="A214" s="97" t="str">
        <f t="shared" si="34"/>
        <v>Okra</v>
      </c>
      <c r="B214" s="95" t="s">
        <v>368</v>
      </c>
      <c r="C214" s="261">
        <v>1500</v>
      </c>
      <c r="D214" s="200">
        <f>(B155*(1-'5.Closing Stock &amp; W Capital'!$D$16))*$C214*D$172</f>
        <v>0</v>
      </c>
      <c r="E214" s="200">
        <f>((C155*(1-'5.Closing Stock &amp; W Capital'!$D$16))+(B155*'5.Closing Stock &amp; W Capital'!$D$16))*$C214*E$172</f>
        <v>0</v>
      </c>
      <c r="F214" s="200">
        <f>((D155*(1-'5.Closing Stock &amp; W Capital'!$D$16))+(C155*'5.Closing Stock &amp; W Capital'!$D$16))*$C214*F$172</f>
        <v>0</v>
      </c>
      <c r="G214" s="200">
        <f>((E155*(1-'5.Closing Stock &amp; W Capital'!$D$16))+(D155*'5.Closing Stock &amp; W Capital'!$D$16))*$C214*G$172</f>
        <v>0</v>
      </c>
      <c r="H214" s="200">
        <f>((F155*(1-'5.Closing Stock &amp; W Capital'!$D$16))+(E155*'5.Closing Stock &amp; W Capital'!$D$16))*$C214*H$172</f>
        <v>0</v>
      </c>
      <c r="I214" s="200">
        <f>((G155*(1-'5.Closing Stock &amp; W Capital'!$D$16))+(F155*'5.Closing Stock &amp; W Capital'!$D$16))*$C214*I$172</f>
        <v>0</v>
      </c>
      <c r="J214" s="200">
        <f>((H155*(1-'5.Closing Stock &amp; W Capital'!$D$16))+(G155*'5.Closing Stock &amp; W Capital'!$D$16))*$C214*J$172</f>
        <v>0</v>
      </c>
      <c r="K214" s="94"/>
      <c r="L214" s="94"/>
    </row>
    <row r="215" spans="1:12">
      <c r="A215" s="97" t="str">
        <f t="shared" si="34"/>
        <v>Chilli</v>
      </c>
      <c r="B215" s="95" t="s">
        <v>368</v>
      </c>
      <c r="C215" s="261">
        <v>3000</v>
      </c>
      <c r="D215" s="200">
        <f>(B156*(1-'5.Closing Stock &amp; W Capital'!$D$16))*$C215*D$172</f>
        <v>0</v>
      </c>
      <c r="E215" s="200">
        <f>((C156*(1-'5.Closing Stock &amp; W Capital'!$D$16))+(B156*'5.Closing Stock &amp; W Capital'!$D$16))*$C215*E$172</f>
        <v>0</v>
      </c>
      <c r="F215" s="200">
        <f>((D156*(1-'5.Closing Stock &amp; W Capital'!$D$16))+(C156*'5.Closing Stock &amp; W Capital'!$D$16))*$C215*F$172</f>
        <v>0</v>
      </c>
      <c r="G215" s="200">
        <f>((E156*(1-'5.Closing Stock &amp; W Capital'!$D$16))+(D156*'5.Closing Stock &amp; W Capital'!$D$16))*$C215*G$172</f>
        <v>0</v>
      </c>
      <c r="H215" s="200">
        <f>((F156*(1-'5.Closing Stock &amp; W Capital'!$D$16))+(E156*'5.Closing Stock &amp; W Capital'!$D$16))*$C215*H$172</f>
        <v>0</v>
      </c>
      <c r="I215" s="200">
        <f>((G156*(1-'5.Closing Stock &amp; W Capital'!$D$16))+(F156*'5.Closing Stock &amp; W Capital'!$D$16))*$C215*I$172</f>
        <v>0</v>
      </c>
      <c r="J215" s="200">
        <f>((H156*(1-'5.Closing Stock &amp; W Capital'!$D$16))+(G156*'5.Closing Stock &amp; W Capital'!$D$16))*$C215*J$172</f>
        <v>0</v>
      </c>
      <c r="K215" s="94"/>
      <c r="L215" s="94"/>
    </row>
    <row r="216" spans="1:12">
      <c r="A216" s="97" t="str">
        <f t="shared" si="34"/>
        <v>Brinjal</v>
      </c>
      <c r="B216" s="95" t="s">
        <v>368</v>
      </c>
      <c r="C216" s="261">
        <v>2000</v>
      </c>
      <c r="D216" s="200">
        <f>(B157*(1-'5.Closing Stock &amp; W Capital'!$D$16))*$C216*D$172</f>
        <v>0</v>
      </c>
      <c r="E216" s="200">
        <f>((C157*(1-'5.Closing Stock &amp; W Capital'!$D$16))+(B157*'5.Closing Stock &amp; W Capital'!$D$16))*$C216*E$172</f>
        <v>0</v>
      </c>
      <c r="F216" s="200">
        <f>((D157*(1-'5.Closing Stock &amp; W Capital'!$D$16))+(C157*'5.Closing Stock &amp; W Capital'!$D$16))*$C216*F$172</f>
        <v>0</v>
      </c>
      <c r="G216" s="200">
        <f>((E157*(1-'5.Closing Stock &amp; W Capital'!$D$16))+(D157*'5.Closing Stock &amp; W Capital'!$D$16))*$C216*G$172</f>
        <v>0</v>
      </c>
      <c r="H216" s="200">
        <f>((F157*(1-'5.Closing Stock &amp; W Capital'!$D$16))+(E157*'5.Closing Stock &amp; W Capital'!$D$16))*$C216*H$172</f>
        <v>0</v>
      </c>
      <c r="I216" s="200">
        <f>((G157*(1-'5.Closing Stock &amp; W Capital'!$D$16))+(F157*'5.Closing Stock &amp; W Capital'!$D$16))*$C216*I$172</f>
        <v>0</v>
      </c>
      <c r="J216" s="200">
        <f>((H157*(1-'5.Closing Stock &amp; W Capital'!$D$16))+(G157*'5.Closing Stock &amp; W Capital'!$D$16))*$C216*J$172</f>
        <v>0</v>
      </c>
      <c r="K216" s="94"/>
      <c r="L216" s="94"/>
    </row>
    <row r="217" spans="1:12">
      <c r="A217" s="97">
        <f t="shared" si="34"/>
        <v>0</v>
      </c>
      <c r="B217" s="95" t="s">
        <v>368</v>
      </c>
      <c r="C217" s="261"/>
      <c r="D217" s="200">
        <f>(B158*(1-'5.Closing Stock &amp; W Capital'!$D$16))*$C217*D$172</f>
        <v>0</v>
      </c>
      <c r="E217" s="200">
        <f>((C158*(1-'5.Closing Stock &amp; W Capital'!$D$16))+(B158*'5.Closing Stock &amp; W Capital'!$D$16))*$C217*E$172</f>
        <v>0</v>
      </c>
      <c r="F217" s="200">
        <f>((D158*(1-'5.Closing Stock &amp; W Capital'!$D$16))+(C158*'5.Closing Stock &amp; W Capital'!$D$16))*$C217*F$172</f>
        <v>0</v>
      </c>
      <c r="G217" s="200">
        <f>((E158*(1-'5.Closing Stock &amp; W Capital'!$D$16))+(D158*'5.Closing Stock &amp; W Capital'!$D$16))*$C217*G$172</f>
        <v>0</v>
      </c>
      <c r="H217" s="200">
        <f>((F158*(1-'5.Closing Stock &amp; W Capital'!$D$16))+(E158*'5.Closing Stock &amp; W Capital'!$D$16))*$C217*H$172</f>
        <v>0</v>
      </c>
      <c r="I217" s="200">
        <f>((G158*(1-'5.Closing Stock &amp; W Capital'!$D$16))+(F158*'5.Closing Stock &amp; W Capital'!$D$16))*$C217*I$172</f>
        <v>0</v>
      </c>
      <c r="J217" s="200">
        <f>((H158*(1-'5.Closing Stock &amp; W Capital'!$D$16))+(G158*'5.Closing Stock &amp; W Capital'!$D$16))*$C217*J$172</f>
        <v>0</v>
      </c>
      <c r="K217" s="94"/>
      <c r="L217" s="94"/>
    </row>
    <row r="218" spans="1:12">
      <c r="A218" s="97">
        <f t="shared" si="34"/>
        <v>0</v>
      </c>
      <c r="B218" s="95" t="s">
        <v>368</v>
      </c>
      <c r="C218" s="261"/>
      <c r="D218" s="200">
        <f>(B159*(1-'5.Closing Stock &amp; W Capital'!$D$16))*$C218*D$172</f>
        <v>0</v>
      </c>
      <c r="E218" s="200">
        <f>((C159*(1-'5.Closing Stock &amp; W Capital'!$D$16))+(B159*'5.Closing Stock &amp; W Capital'!$D$16))*$C218*E$172</f>
        <v>0</v>
      </c>
      <c r="F218" s="200">
        <f>((D159*(1-'5.Closing Stock &amp; W Capital'!$D$16))+(C159*'5.Closing Stock &amp; W Capital'!$D$16))*$C218*F$172</f>
        <v>0</v>
      </c>
      <c r="G218" s="200">
        <f>((E159*(1-'5.Closing Stock &amp; W Capital'!$D$16))+(D159*'5.Closing Stock &amp; W Capital'!$D$16))*$C218*G$172</f>
        <v>0</v>
      </c>
      <c r="H218" s="200">
        <f>((F159*(1-'5.Closing Stock &amp; W Capital'!$D$16))+(E159*'5.Closing Stock &amp; W Capital'!$D$16))*$C218*H$172</f>
        <v>0</v>
      </c>
      <c r="I218" s="200">
        <f>((G159*(1-'5.Closing Stock &amp; W Capital'!$D$16))+(F159*'5.Closing Stock &amp; W Capital'!$D$16))*$C218*I$172</f>
        <v>0</v>
      </c>
      <c r="J218" s="200">
        <f>((H159*(1-'5.Closing Stock &amp; W Capital'!$D$16))+(G159*'5.Closing Stock &amp; W Capital'!$D$16))*$C218*J$172</f>
        <v>0</v>
      </c>
      <c r="K218" s="94"/>
      <c r="L218" s="94"/>
    </row>
    <row r="219" spans="1:12">
      <c r="A219" s="97">
        <f t="shared" si="34"/>
        <v>0</v>
      </c>
      <c r="B219" s="95" t="s">
        <v>368</v>
      </c>
      <c r="C219" s="261"/>
      <c r="D219" s="200">
        <f>(B160*(1-'5.Closing Stock &amp; W Capital'!$D$16))*$C219*D$172</f>
        <v>0</v>
      </c>
      <c r="E219" s="200">
        <f>((C160*(1-'5.Closing Stock &amp; W Capital'!$D$16))+(B160*'5.Closing Stock &amp; W Capital'!$D$16))*$C219*E$172</f>
        <v>0</v>
      </c>
      <c r="F219" s="200">
        <f>((D160*(1-'5.Closing Stock &amp; W Capital'!$D$16))+(C160*'5.Closing Stock &amp; W Capital'!$D$16))*$C219*F$172</f>
        <v>0</v>
      </c>
      <c r="G219" s="200">
        <f>((E160*(1-'5.Closing Stock &amp; W Capital'!$D$16))+(D160*'5.Closing Stock &amp; W Capital'!$D$16))*$C219*G$172</f>
        <v>0</v>
      </c>
      <c r="H219" s="200">
        <f>((F160*(1-'5.Closing Stock &amp; W Capital'!$D$16))+(E160*'5.Closing Stock &amp; W Capital'!$D$16))*$C219*H$172</f>
        <v>0</v>
      </c>
      <c r="I219" s="200">
        <f>((G160*(1-'5.Closing Stock &amp; W Capital'!$D$16))+(F160*'5.Closing Stock &amp; W Capital'!$D$16))*$C219*I$172</f>
        <v>0</v>
      </c>
      <c r="J219" s="200">
        <f>((H160*(1-'5.Closing Stock &amp; W Capital'!$D$16))+(G160*'5.Closing Stock &amp; W Capital'!$D$16))*$C219*J$172</f>
        <v>0</v>
      </c>
      <c r="K219" s="94"/>
      <c r="L219" s="94"/>
    </row>
    <row r="220" spans="1:12">
      <c r="A220" s="97">
        <f t="shared" si="34"/>
        <v>0</v>
      </c>
      <c r="B220" s="95" t="s">
        <v>368</v>
      </c>
      <c r="C220" s="261"/>
      <c r="D220" s="200">
        <f>(B161*(1-'5.Closing Stock &amp; W Capital'!$D$16))*$C220*D$172</f>
        <v>0</v>
      </c>
      <c r="E220" s="200">
        <f>((C161*(1-'5.Closing Stock &amp; W Capital'!$D$16))+(B161*'5.Closing Stock &amp; W Capital'!$D$16))*$C220*E$172</f>
        <v>0</v>
      </c>
      <c r="F220" s="200">
        <f>((D161*(1-'5.Closing Stock &amp; W Capital'!$D$16))+(C161*'5.Closing Stock &amp; W Capital'!$D$16))*$C220*F$172</f>
        <v>0</v>
      </c>
      <c r="G220" s="200">
        <f>((E161*(1-'5.Closing Stock &amp; W Capital'!$D$16))+(D161*'5.Closing Stock &amp; W Capital'!$D$16))*$C220*G$172</f>
        <v>0</v>
      </c>
      <c r="H220" s="200">
        <f>((F161*(1-'5.Closing Stock &amp; W Capital'!$D$16))+(E161*'5.Closing Stock &amp; W Capital'!$D$16))*$C220*H$172</f>
        <v>0</v>
      </c>
      <c r="I220" s="200">
        <f>((G161*(1-'5.Closing Stock &amp; W Capital'!$D$16))+(F161*'5.Closing Stock &amp; W Capital'!$D$16))*$C220*I$172</f>
        <v>0</v>
      </c>
      <c r="J220" s="200">
        <f>((H161*(1-'5.Closing Stock &amp; W Capital'!$D$16))+(G161*'5.Closing Stock &amp; W Capital'!$D$16))*$C220*J$172</f>
        <v>0</v>
      </c>
      <c r="K220" s="94"/>
      <c r="L220" s="94"/>
    </row>
    <row r="221" spans="1:12">
      <c r="A221" s="97">
        <f t="shared" ref="A221:A223" si="35">A162</f>
        <v>0</v>
      </c>
      <c r="B221" s="95" t="s">
        <v>368</v>
      </c>
      <c r="C221" s="261"/>
      <c r="D221" s="200">
        <f>(B162*(1-'5.Closing Stock &amp; W Capital'!$D$16))*$C221*D$172</f>
        <v>0</v>
      </c>
      <c r="E221" s="200">
        <f>((C162*(1-'5.Closing Stock &amp; W Capital'!$D$16))+(B162*'5.Closing Stock &amp; W Capital'!$D$16))*$C221*E$172</f>
        <v>0</v>
      </c>
      <c r="F221" s="200">
        <f>((D162*(1-'5.Closing Stock &amp; W Capital'!$D$16))+(C162*'5.Closing Stock &amp; W Capital'!$D$16))*$C221*F$172</f>
        <v>0</v>
      </c>
      <c r="G221" s="200">
        <f>((E162*(1-'5.Closing Stock &amp; W Capital'!$D$16))+(D162*'5.Closing Stock &amp; W Capital'!$D$16))*$C221*G$172</f>
        <v>0</v>
      </c>
      <c r="H221" s="200">
        <f>((F162*(1-'5.Closing Stock &amp; W Capital'!$D$16))+(E162*'5.Closing Stock &amp; W Capital'!$D$16))*$C221*H$172</f>
        <v>0</v>
      </c>
      <c r="I221" s="200">
        <f>((G162*(1-'5.Closing Stock &amp; W Capital'!$D$16))+(F162*'5.Closing Stock &amp; W Capital'!$D$16))*$C221*I$172</f>
        <v>0</v>
      </c>
      <c r="J221" s="200">
        <f>((H162*(1-'5.Closing Stock &amp; W Capital'!$D$16))+(G162*'5.Closing Stock &amp; W Capital'!$D$16))*$C221*J$172</f>
        <v>0</v>
      </c>
      <c r="K221" s="94"/>
      <c r="L221" s="94"/>
    </row>
    <row r="222" spans="1:12">
      <c r="A222" s="97">
        <f t="shared" si="35"/>
        <v>0</v>
      </c>
      <c r="B222" s="95" t="s">
        <v>368</v>
      </c>
      <c r="C222" s="261"/>
      <c r="D222" s="200">
        <f>(B163*(1-'5.Closing Stock &amp; W Capital'!$D$16))*$C222*D$172</f>
        <v>0</v>
      </c>
      <c r="E222" s="200">
        <f>((C163*(1-'5.Closing Stock &amp; W Capital'!$D$16))+(B163*'5.Closing Stock &amp; W Capital'!$D$16))*$C222*E$172</f>
        <v>0</v>
      </c>
      <c r="F222" s="200">
        <f>((D163*(1-'5.Closing Stock &amp; W Capital'!$D$16))+(C163*'5.Closing Stock &amp; W Capital'!$D$16))*$C222*F$172</f>
        <v>0</v>
      </c>
      <c r="G222" s="200">
        <f>((E163*(1-'5.Closing Stock &amp; W Capital'!$D$16))+(D163*'5.Closing Stock &amp; W Capital'!$D$16))*$C222*G$172</f>
        <v>0</v>
      </c>
      <c r="H222" s="200">
        <f>((F163*(1-'5.Closing Stock &amp; W Capital'!$D$16))+(E163*'5.Closing Stock &amp; W Capital'!$D$16))*$C222*H$172</f>
        <v>0</v>
      </c>
      <c r="I222" s="200">
        <f>((G163*(1-'5.Closing Stock &amp; W Capital'!$D$16))+(F163*'5.Closing Stock &amp; W Capital'!$D$16))*$C222*I$172</f>
        <v>0</v>
      </c>
      <c r="J222" s="200">
        <f>((H163*(1-'5.Closing Stock &amp; W Capital'!$D$16))+(G163*'5.Closing Stock &amp; W Capital'!$D$16))*$C222*J$172</f>
        <v>0</v>
      </c>
      <c r="K222" s="94"/>
      <c r="L222" s="94"/>
    </row>
    <row r="223" spans="1:12">
      <c r="A223" s="97">
        <f t="shared" si="35"/>
        <v>0</v>
      </c>
      <c r="B223" s="95" t="s">
        <v>368</v>
      </c>
      <c r="C223" s="261"/>
      <c r="D223" s="200">
        <f>(B164*(1-'5.Closing Stock &amp; W Capital'!$D$16))*$C223*D$172</f>
        <v>0</v>
      </c>
      <c r="E223" s="200">
        <f>((C164*(1-'5.Closing Stock &amp; W Capital'!$D$16))+(B164*'5.Closing Stock &amp; W Capital'!$D$16))*$C223*E$172</f>
        <v>0</v>
      </c>
      <c r="F223" s="200">
        <f>((D164*(1-'5.Closing Stock &amp; W Capital'!$D$16))+(C164*'5.Closing Stock &amp; W Capital'!$D$16))*$C223*F$172</f>
        <v>0</v>
      </c>
      <c r="G223" s="200">
        <f>((E164*(1-'5.Closing Stock &amp; W Capital'!$D$16))+(D164*'5.Closing Stock &amp; W Capital'!$D$16))*$C223*G$172</f>
        <v>0</v>
      </c>
      <c r="H223" s="200">
        <f>((F164*(1-'5.Closing Stock &amp; W Capital'!$D$16))+(E164*'5.Closing Stock &amp; W Capital'!$D$16))*$C223*H$172</f>
        <v>0</v>
      </c>
      <c r="I223" s="200">
        <f>((G164*(1-'5.Closing Stock &amp; W Capital'!$D$16))+(F164*'5.Closing Stock &amp; W Capital'!$D$16))*$C223*I$172</f>
        <v>0</v>
      </c>
      <c r="J223" s="200">
        <f>((H164*(1-'5.Closing Stock &amp; W Capital'!$D$16))+(G164*'5.Closing Stock &amp; W Capital'!$D$16))*$C223*J$172</f>
        <v>0</v>
      </c>
      <c r="K223" s="94"/>
      <c r="L223" s="94"/>
    </row>
    <row r="224" spans="1:12">
      <c r="A224" s="97" t="str">
        <f t="shared" ref="A224:A227" si="36">A165</f>
        <v>Pomegranate</v>
      </c>
      <c r="B224" s="95" t="s">
        <v>368</v>
      </c>
      <c r="C224" s="261">
        <v>5000</v>
      </c>
      <c r="D224" s="200">
        <f>(B165*(1-'5.Closing Stock &amp; W Capital'!$D$16))*$C224*D$172</f>
        <v>0</v>
      </c>
      <c r="E224" s="200">
        <f>((C165*(1-'5.Closing Stock &amp; W Capital'!$D$16))+(B165*'5.Closing Stock &amp; W Capital'!$D$16))*$C224*E$172</f>
        <v>0</v>
      </c>
      <c r="F224" s="200">
        <f>((D165*(1-'5.Closing Stock &amp; W Capital'!$D$16))+(C165*'5.Closing Stock &amp; W Capital'!$D$16))*$C224*F$172</f>
        <v>0</v>
      </c>
      <c r="G224" s="200">
        <f>((E165*(1-'5.Closing Stock &amp; W Capital'!$D$16))+(D165*'5.Closing Stock &amp; W Capital'!$D$16))*$C224*G$172</f>
        <v>0</v>
      </c>
      <c r="H224" s="200">
        <f>((F165*(1-'5.Closing Stock &amp; W Capital'!$D$16))+(E165*'5.Closing Stock &amp; W Capital'!$D$16))*$C224*H$172</f>
        <v>0</v>
      </c>
      <c r="I224" s="200">
        <f>((G165*(1-'5.Closing Stock &amp; W Capital'!$D$16))+(F165*'5.Closing Stock &amp; W Capital'!$D$16))*$C224*I$172</f>
        <v>0</v>
      </c>
      <c r="J224" s="200">
        <f>((H165*(1-'5.Closing Stock &amp; W Capital'!$D$16))+(G165*'5.Closing Stock &amp; W Capital'!$D$16))*$C224*J$172</f>
        <v>0</v>
      </c>
      <c r="K224" s="94"/>
      <c r="L224" s="94"/>
    </row>
    <row r="225" spans="1:12">
      <c r="A225" s="97" t="str">
        <f t="shared" si="36"/>
        <v>Custard Apple</v>
      </c>
      <c r="B225" s="95" t="s">
        <v>368</v>
      </c>
      <c r="C225" s="261"/>
      <c r="D225" s="200">
        <f>(B166*(1-'5.Closing Stock &amp; W Capital'!$D$16))*$C225*D$172</f>
        <v>0</v>
      </c>
      <c r="E225" s="200">
        <f>((C166*(1-'5.Closing Stock &amp; W Capital'!$D$16))+(B166*'5.Closing Stock &amp; W Capital'!$D$16))*$C225*E$172</f>
        <v>0</v>
      </c>
      <c r="F225" s="200">
        <f>((D166*(1-'5.Closing Stock &amp; W Capital'!$D$16))+(C166*'5.Closing Stock &amp; W Capital'!$D$16))*$C225*F$172</f>
        <v>0</v>
      </c>
      <c r="G225" s="200">
        <f>((E166*(1-'5.Closing Stock &amp; W Capital'!$D$16))+(D166*'5.Closing Stock &amp; W Capital'!$D$16))*$C225*G$172</f>
        <v>0</v>
      </c>
      <c r="H225" s="200">
        <f>((F166*(1-'5.Closing Stock &amp; W Capital'!$D$16))+(E166*'5.Closing Stock &amp; W Capital'!$D$16))*$C225*H$172</f>
        <v>0</v>
      </c>
      <c r="I225" s="200">
        <f>((G166*(1-'5.Closing Stock &amp; W Capital'!$D$16))+(F166*'5.Closing Stock &amp; W Capital'!$D$16))*$C225*I$172</f>
        <v>0</v>
      </c>
      <c r="J225" s="200">
        <f>((H166*(1-'5.Closing Stock &amp; W Capital'!$D$16))+(G166*'5.Closing Stock &amp; W Capital'!$D$16))*$C225*J$172</f>
        <v>0</v>
      </c>
      <c r="K225" s="94"/>
      <c r="L225" s="94"/>
    </row>
    <row r="226" spans="1:12">
      <c r="A226" s="97" t="str">
        <f t="shared" si="36"/>
        <v>Guava</v>
      </c>
      <c r="B226" s="95" t="s">
        <v>368</v>
      </c>
      <c r="C226" s="261"/>
      <c r="D226" s="200">
        <f>(B167*(1-'5.Closing Stock &amp; W Capital'!$D$16))*$C226*D$172</f>
        <v>0</v>
      </c>
      <c r="E226" s="200">
        <f>((C167*(1-'5.Closing Stock &amp; W Capital'!$D$16))+(B167*'5.Closing Stock &amp; W Capital'!$D$16))*$C226*E$172</f>
        <v>0</v>
      </c>
      <c r="F226" s="200">
        <f>((D167*(1-'5.Closing Stock &amp; W Capital'!$D$16))+(C167*'5.Closing Stock &amp; W Capital'!$D$16))*$C226*F$172</f>
        <v>0</v>
      </c>
      <c r="G226" s="200">
        <f>((E167*(1-'5.Closing Stock &amp; W Capital'!$D$16))+(D167*'5.Closing Stock &amp; W Capital'!$D$16))*$C226*G$172</f>
        <v>0</v>
      </c>
      <c r="H226" s="200">
        <f>((F167*(1-'5.Closing Stock &amp; W Capital'!$D$16))+(E167*'5.Closing Stock &amp; W Capital'!$D$16))*$C226*H$172</f>
        <v>0</v>
      </c>
      <c r="I226" s="200">
        <f>((G167*(1-'5.Closing Stock &amp; W Capital'!$D$16))+(F167*'5.Closing Stock &amp; W Capital'!$D$16))*$C226*I$172</f>
        <v>0</v>
      </c>
      <c r="J226" s="200">
        <f>((H167*(1-'5.Closing Stock &amp; W Capital'!$D$16))+(G167*'5.Closing Stock &amp; W Capital'!$D$16))*$C226*J$172</f>
        <v>0</v>
      </c>
      <c r="K226" s="94"/>
      <c r="L226" s="94"/>
    </row>
    <row r="227" spans="1:12">
      <c r="A227" s="97" t="str">
        <f t="shared" si="36"/>
        <v>Citrus</v>
      </c>
      <c r="B227" s="95" t="s">
        <v>368</v>
      </c>
      <c r="C227" s="261"/>
      <c r="D227" s="200">
        <f>(B168*(1-'5.Closing Stock &amp; W Capital'!$D$16))*$C227*D$172</f>
        <v>0</v>
      </c>
      <c r="E227" s="200">
        <f>((C168*(1-'5.Closing Stock &amp; W Capital'!$D$16))+(B168*'5.Closing Stock &amp; W Capital'!$D$16))*$C227*E$172</f>
        <v>0</v>
      </c>
      <c r="F227" s="200">
        <f>((D168*(1-'5.Closing Stock &amp; W Capital'!$D$16))+(C168*'5.Closing Stock &amp; W Capital'!$D$16))*$C227*F$172</f>
        <v>0</v>
      </c>
      <c r="G227" s="200">
        <f>((E168*(1-'5.Closing Stock &amp; W Capital'!$D$16))+(D168*'5.Closing Stock &amp; W Capital'!$D$16))*$C227*G$172</f>
        <v>0</v>
      </c>
      <c r="H227" s="200">
        <f>((F168*(1-'5.Closing Stock &amp; W Capital'!$D$16))+(E168*'5.Closing Stock &amp; W Capital'!$D$16))*$C227*H$172</f>
        <v>0</v>
      </c>
      <c r="I227" s="200">
        <f>((G168*(1-'5.Closing Stock &amp; W Capital'!$D$16))+(F168*'5.Closing Stock &amp; W Capital'!$D$16))*$C227*I$172</f>
        <v>0</v>
      </c>
      <c r="J227" s="200">
        <f>((H168*(1-'5.Closing Stock &amp; W Capital'!$D$16))+(G168*'5.Closing Stock &amp; W Capital'!$D$16))*$C227*J$172</f>
        <v>0</v>
      </c>
      <c r="K227" s="94"/>
      <c r="L227" s="94"/>
    </row>
    <row r="228" spans="1:12">
      <c r="A228" s="97"/>
      <c r="B228" s="97"/>
      <c r="C228" s="97"/>
      <c r="D228" s="95"/>
      <c r="E228" s="95"/>
      <c r="F228" s="95"/>
      <c r="G228" s="95"/>
      <c r="H228" s="95"/>
      <c r="I228" s="95"/>
      <c r="J228" s="95"/>
      <c r="K228" s="94"/>
      <c r="L228" s="94"/>
    </row>
    <row r="229" spans="1:12">
      <c r="A229" s="97" t="s">
        <v>144</v>
      </c>
      <c r="B229" s="97"/>
      <c r="C229" s="97"/>
      <c r="D229" s="202">
        <f t="shared" ref="D229:J229" si="37">SUM(D178:D228)</f>
        <v>20551157.706836998</v>
      </c>
      <c r="E229" s="202">
        <f t="shared" si="37"/>
        <v>28089782.57197272</v>
      </c>
      <c r="F229" s="202">
        <f t="shared" si="37"/>
        <v>35451736.414977446</v>
      </c>
      <c r="G229" s="202">
        <f t="shared" si="37"/>
        <v>43479661.185852736</v>
      </c>
      <c r="H229" s="202">
        <f t="shared" si="37"/>
        <v>52221749.092778094</v>
      </c>
      <c r="I229" s="202">
        <f t="shared" si="37"/>
        <v>61729346.637431368</v>
      </c>
      <c r="J229" s="202">
        <f t="shared" si="37"/>
        <v>72057149.563818023</v>
      </c>
      <c r="K229" s="94"/>
      <c r="L229" s="94"/>
    </row>
    <row r="230" spans="1:12">
      <c r="A230" s="95"/>
      <c r="B230" s="95"/>
      <c r="C230" s="95"/>
      <c r="D230" s="95"/>
      <c r="E230" s="95"/>
      <c r="F230" s="95"/>
      <c r="G230" s="95"/>
      <c r="H230" s="95"/>
      <c r="I230" s="95"/>
      <c r="J230" s="95"/>
      <c r="K230" s="94"/>
      <c r="L230" s="94"/>
    </row>
    <row r="231" spans="1:12">
      <c r="A231" s="97" t="s">
        <v>143</v>
      </c>
      <c r="B231" s="97"/>
      <c r="C231" s="97"/>
      <c r="D231" s="95"/>
      <c r="E231" s="95"/>
      <c r="F231" s="95"/>
      <c r="G231" s="95"/>
      <c r="H231" s="95"/>
      <c r="I231" s="95"/>
      <c r="J231" s="95"/>
      <c r="K231" s="94"/>
      <c r="L231" s="94"/>
    </row>
    <row r="232" spans="1:12">
      <c r="A232" s="97" t="s">
        <v>316</v>
      </c>
      <c r="B232" s="97"/>
      <c r="C232" s="95"/>
      <c r="D232" s="95"/>
      <c r="E232" s="95"/>
      <c r="F232" s="95"/>
      <c r="G232" s="95"/>
      <c r="H232" s="95"/>
      <c r="I232" s="95"/>
      <c r="J232" s="95"/>
      <c r="K232" s="94"/>
      <c r="L232" s="94"/>
    </row>
    <row r="233" spans="1:12">
      <c r="A233" s="95" t="str">
        <f t="shared" ref="A233:A254" si="38">A178</f>
        <v>Soybean</v>
      </c>
      <c r="B233" s="95" t="s">
        <v>368</v>
      </c>
      <c r="C233" s="257">
        <v>4800</v>
      </c>
      <c r="D233" s="96">
        <f>B68*$C$233*D$172</f>
        <v>6031812.96</v>
      </c>
      <c r="E233" s="96">
        <f>C68*$C$233*E$172</f>
        <v>7916754.5100000007</v>
      </c>
      <c r="F233" s="96">
        <f>D68*$C$233*F172</f>
        <v>9975110.682599999</v>
      </c>
      <c r="G233" s="96">
        <f>E68*$C$233*G172</f>
        <v>12219510.586185001</v>
      </c>
      <c r="H233" s="96">
        <f>F68*$C$233*H172</f>
        <v>14663412.703422002</v>
      </c>
      <c r="I233" s="96">
        <f>G68*$C$233*I172</f>
        <v>17321156.255917244</v>
      </c>
      <c r="J233" s="96">
        <f>H68*$C$233*J172</f>
        <v>20208015.631903451</v>
      </c>
      <c r="K233" s="94"/>
      <c r="L233" s="94"/>
    </row>
    <row r="234" spans="1:12">
      <c r="A234" s="95" t="str">
        <f t="shared" si="38"/>
        <v>Red Gram/Tur</v>
      </c>
      <c r="B234" s="95" t="s">
        <v>368</v>
      </c>
      <c r="C234" s="257">
        <v>6800</v>
      </c>
      <c r="D234" s="96">
        <f>B69*$C$234*D$172</f>
        <v>0</v>
      </c>
      <c r="E234" s="96">
        <f t="shared" ref="E234:J234" si="39">C69*$C$234*E172</f>
        <v>0</v>
      </c>
      <c r="F234" s="96">
        <f t="shared" si="39"/>
        <v>0</v>
      </c>
      <c r="G234" s="96">
        <f t="shared" si="39"/>
        <v>0</v>
      </c>
      <c r="H234" s="96">
        <f t="shared" si="39"/>
        <v>0</v>
      </c>
      <c r="I234" s="96">
        <f t="shared" si="39"/>
        <v>0</v>
      </c>
      <c r="J234" s="96">
        <f t="shared" si="39"/>
        <v>0</v>
      </c>
      <c r="K234" s="94"/>
      <c r="L234" s="94"/>
    </row>
    <row r="235" spans="1:12">
      <c r="A235" s="95" t="str">
        <f t="shared" si="38"/>
        <v>Paddy/Rice</v>
      </c>
      <c r="B235" s="95" t="s">
        <v>368</v>
      </c>
      <c r="C235" s="257"/>
      <c r="D235" s="96">
        <f>B70*$C$235*D$172</f>
        <v>0</v>
      </c>
      <c r="E235" s="96">
        <f t="shared" ref="E235:J235" si="40">C70*$C$235*E172</f>
        <v>0</v>
      </c>
      <c r="F235" s="96">
        <f t="shared" si="40"/>
        <v>0</v>
      </c>
      <c r="G235" s="96">
        <f t="shared" si="40"/>
        <v>0</v>
      </c>
      <c r="H235" s="96">
        <f t="shared" si="40"/>
        <v>0</v>
      </c>
      <c r="I235" s="96">
        <f t="shared" si="40"/>
        <v>0</v>
      </c>
      <c r="J235" s="96">
        <f t="shared" si="40"/>
        <v>0</v>
      </c>
      <c r="K235" s="94"/>
      <c r="L235" s="94"/>
    </row>
    <row r="236" spans="1:12">
      <c r="A236" s="95" t="str">
        <f t="shared" si="38"/>
        <v>Green Gram/ Moong</v>
      </c>
      <c r="B236" s="95" t="s">
        <v>368</v>
      </c>
      <c r="C236" s="257">
        <v>5900</v>
      </c>
      <c r="D236" s="96">
        <f t="shared" ref="D236:J236" si="41">B71*$C$236*D$172</f>
        <v>2676881.5542000006</v>
      </c>
      <c r="E236" s="96">
        <f t="shared" si="41"/>
        <v>3513407.0398875005</v>
      </c>
      <c r="F236" s="96">
        <f t="shared" si="41"/>
        <v>4426892.8702582503</v>
      </c>
      <c r="G236" s="96">
        <f t="shared" si="41"/>
        <v>5422943.7660663575</v>
      </c>
      <c r="H236" s="96">
        <f t="shared" si="41"/>
        <v>6507532.519279629</v>
      </c>
      <c r="I236" s="96">
        <f t="shared" si="41"/>
        <v>7687022.7883990631</v>
      </c>
      <c r="J236" s="96">
        <f t="shared" si="41"/>
        <v>8968193.253132239</v>
      </c>
      <c r="K236" s="94"/>
      <c r="L236" s="94"/>
    </row>
    <row r="237" spans="1:12">
      <c r="A237" s="95" t="str">
        <f t="shared" si="38"/>
        <v>Maize</v>
      </c>
      <c r="B237" s="95" t="s">
        <v>368</v>
      </c>
      <c r="C237" s="257">
        <v>1600</v>
      </c>
      <c r="D237" s="96">
        <f t="shared" ref="D237:J237" si="42">B72*$C$237*D$172</f>
        <v>5643801.6000000006</v>
      </c>
      <c r="E237" s="96">
        <f t="shared" si="42"/>
        <v>7407489.6000000006</v>
      </c>
      <c r="F237" s="96">
        <f t="shared" si="42"/>
        <v>9333436.8960000016</v>
      </c>
      <c r="G237" s="96">
        <f t="shared" si="42"/>
        <v>11433460.197600001</v>
      </c>
      <c r="H237" s="96">
        <f t="shared" si="42"/>
        <v>13720152.237120003</v>
      </c>
      <c r="I237" s="96">
        <f t="shared" si="42"/>
        <v>16206929.830098003</v>
      </c>
      <c r="J237" s="96">
        <f t="shared" si="42"/>
        <v>18908084.801781002</v>
      </c>
      <c r="K237" s="94"/>
      <c r="L237" s="94"/>
    </row>
    <row r="238" spans="1:12">
      <c r="A238" s="95" t="str">
        <f t="shared" si="38"/>
        <v>Black Gram/Udid</v>
      </c>
      <c r="B238" s="95" t="s">
        <v>368</v>
      </c>
      <c r="C238" s="257">
        <v>6300</v>
      </c>
      <c r="D238" s="96">
        <f t="shared" ref="D238:J238" si="43">B73*$C$238*D$172</f>
        <v>1750019.4180000001</v>
      </c>
      <c r="E238" s="96">
        <f t="shared" si="43"/>
        <v>2296900.4861250003</v>
      </c>
      <c r="F238" s="96">
        <f t="shared" si="43"/>
        <v>2894094.6125174998</v>
      </c>
      <c r="G238" s="96">
        <f t="shared" si="43"/>
        <v>3545265.9003339377</v>
      </c>
      <c r="H238" s="96">
        <f t="shared" si="43"/>
        <v>4254319.0804007258</v>
      </c>
      <c r="I238" s="96">
        <f t="shared" si="43"/>
        <v>5025414.413723357</v>
      </c>
      <c r="J238" s="96">
        <f t="shared" si="43"/>
        <v>5862983.4826772492</v>
      </c>
      <c r="K238" s="94"/>
      <c r="L238" s="94"/>
    </row>
    <row r="239" spans="1:12">
      <c r="A239" s="95" t="str">
        <f t="shared" si="38"/>
        <v>Bajra</v>
      </c>
      <c r="B239" s="95" t="s">
        <v>368</v>
      </c>
      <c r="C239" s="257">
        <v>1800</v>
      </c>
      <c r="D239" s="96">
        <f t="shared" ref="D239:J239" si="44">B74*$C$239*D$172</f>
        <v>0</v>
      </c>
      <c r="E239" s="96">
        <f t="shared" si="44"/>
        <v>0</v>
      </c>
      <c r="F239" s="96">
        <f t="shared" si="44"/>
        <v>0</v>
      </c>
      <c r="G239" s="96">
        <f t="shared" si="44"/>
        <v>0</v>
      </c>
      <c r="H239" s="96">
        <f t="shared" si="44"/>
        <v>0</v>
      </c>
      <c r="I239" s="96">
        <f t="shared" si="44"/>
        <v>0</v>
      </c>
      <c r="J239" s="96">
        <f t="shared" si="44"/>
        <v>0</v>
      </c>
      <c r="K239" s="94"/>
      <c r="L239" s="94"/>
    </row>
    <row r="240" spans="1:12">
      <c r="A240" s="95" t="str">
        <f t="shared" si="38"/>
        <v>Jawar</v>
      </c>
      <c r="B240" s="95" t="s">
        <v>368</v>
      </c>
      <c r="C240" s="257"/>
      <c r="D240" s="96">
        <f t="shared" ref="D240:J240" si="45">B75*$C$240*D$172</f>
        <v>0</v>
      </c>
      <c r="E240" s="96">
        <f t="shared" si="45"/>
        <v>0</v>
      </c>
      <c r="F240" s="96">
        <f t="shared" si="45"/>
        <v>0</v>
      </c>
      <c r="G240" s="96">
        <f t="shared" si="45"/>
        <v>0</v>
      </c>
      <c r="H240" s="96">
        <f t="shared" si="45"/>
        <v>0</v>
      </c>
      <c r="I240" s="96">
        <f t="shared" si="45"/>
        <v>0</v>
      </c>
      <c r="J240" s="96">
        <f t="shared" si="45"/>
        <v>0</v>
      </c>
      <c r="K240" s="94"/>
      <c r="L240" s="94"/>
    </row>
    <row r="241" spans="1:12">
      <c r="A241" s="95" t="str">
        <f t="shared" si="38"/>
        <v>Sunflower</v>
      </c>
      <c r="B241" s="95" t="s">
        <v>368</v>
      </c>
      <c r="C241" s="257"/>
      <c r="D241" s="96">
        <f t="shared" ref="D241:J241" si="46">B76*$C$241*D$172</f>
        <v>0</v>
      </c>
      <c r="E241" s="96">
        <f t="shared" si="46"/>
        <v>0</v>
      </c>
      <c r="F241" s="96">
        <f t="shared" si="46"/>
        <v>0</v>
      </c>
      <c r="G241" s="96">
        <f t="shared" si="46"/>
        <v>0</v>
      </c>
      <c r="H241" s="96">
        <f t="shared" si="46"/>
        <v>0</v>
      </c>
      <c r="I241" s="96">
        <f t="shared" si="46"/>
        <v>0</v>
      </c>
      <c r="J241" s="96">
        <f t="shared" si="46"/>
        <v>0</v>
      </c>
      <c r="K241" s="94"/>
      <c r="L241" s="94"/>
    </row>
    <row r="242" spans="1:12">
      <c r="A242" s="95" t="str">
        <f t="shared" si="38"/>
        <v>Wheat</v>
      </c>
      <c r="B242" s="95" t="s">
        <v>368</v>
      </c>
      <c r="C242" s="257">
        <v>1800</v>
      </c>
      <c r="D242" s="96">
        <f t="shared" ref="D242:J242" si="47">B77*$C$242*D$172</f>
        <v>642864.27600000007</v>
      </c>
      <c r="E242" s="96">
        <f t="shared" si="47"/>
        <v>843759.36225000012</v>
      </c>
      <c r="F242" s="96">
        <f t="shared" si="47"/>
        <v>1063136.7964349999</v>
      </c>
      <c r="G242" s="96">
        <f t="shared" si="47"/>
        <v>1302342.5756328751</v>
      </c>
      <c r="H242" s="96">
        <f t="shared" si="47"/>
        <v>1562811.0907594501</v>
      </c>
      <c r="I242" s="96">
        <f t="shared" si="47"/>
        <v>1846070.6009596009</v>
      </c>
      <c r="J242" s="96">
        <f t="shared" si="47"/>
        <v>2153749.0344528677</v>
      </c>
      <c r="K242" s="94"/>
      <c r="L242" s="94"/>
    </row>
    <row r="243" spans="1:12">
      <c r="A243" s="95" t="str">
        <f t="shared" si="38"/>
        <v>Bengal Gram/Channa</v>
      </c>
      <c r="B243" s="95" t="s">
        <v>368</v>
      </c>
      <c r="C243" s="257">
        <v>4800</v>
      </c>
      <c r="D243" s="96">
        <f t="shared" ref="D243:J243" si="48">B78*$C$243*D$172</f>
        <v>2857174.5600000005</v>
      </c>
      <c r="E243" s="96">
        <f t="shared" si="48"/>
        <v>3750041.6100000003</v>
      </c>
      <c r="F243" s="96">
        <f t="shared" si="48"/>
        <v>4725052.4286000002</v>
      </c>
      <c r="G243" s="96">
        <f t="shared" si="48"/>
        <v>5788189.2250349997</v>
      </c>
      <c r="H243" s="96">
        <f t="shared" si="48"/>
        <v>6945827.0700420011</v>
      </c>
      <c r="I243" s="96">
        <f t="shared" si="48"/>
        <v>8204758.2264871141</v>
      </c>
      <c r="J243" s="96">
        <f t="shared" si="48"/>
        <v>9572217.9309016336</v>
      </c>
      <c r="K243" s="94"/>
      <c r="L243" s="94"/>
    </row>
    <row r="244" spans="1:12">
      <c r="A244" s="95" t="str">
        <f t="shared" si="38"/>
        <v>Jawar</v>
      </c>
      <c r="B244" s="95" t="s">
        <v>368</v>
      </c>
      <c r="C244" s="257"/>
      <c r="D244" s="96">
        <f t="shared" ref="D244:J244" si="49">B79*$C$244*D$172</f>
        <v>0</v>
      </c>
      <c r="E244" s="96">
        <f t="shared" si="49"/>
        <v>0</v>
      </c>
      <c r="F244" s="96">
        <f t="shared" si="49"/>
        <v>0</v>
      </c>
      <c r="G244" s="96">
        <f t="shared" si="49"/>
        <v>0</v>
      </c>
      <c r="H244" s="96">
        <f t="shared" si="49"/>
        <v>0</v>
      </c>
      <c r="I244" s="96">
        <f t="shared" si="49"/>
        <v>0</v>
      </c>
      <c r="J244" s="96">
        <f t="shared" si="49"/>
        <v>0</v>
      </c>
      <c r="K244" s="94"/>
      <c r="L244" s="94"/>
    </row>
    <row r="245" spans="1:12">
      <c r="A245" s="95" t="str">
        <f t="shared" si="38"/>
        <v>Maize</v>
      </c>
      <c r="B245" s="95" t="s">
        <v>368</v>
      </c>
      <c r="C245" s="257">
        <v>1600</v>
      </c>
      <c r="D245" s="96">
        <f t="shared" ref="D245:J245" si="50">B80*$C$245*D$172</f>
        <v>846570.24</v>
      </c>
      <c r="E245" s="96">
        <f t="shared" si="50"/>
        <v>1111123.44</v>
      </c>
      <c r="F245" s="96">
        <f t="shared" si="50"/>
        <v>1400015.5343999995</v>
      </c>
      <c r="G245" s="96">
        <f t="shared" si="50"/>
        <v>1715019.0296399998</v>
      </c>
      <c r="H245" s="96">
        <f t="shared" si="50"/>
        <v>2058022.8355680001</v>
      </c>
      <c r="I245" s="96">
        <f t="shared" si="50"/>
        <v>2431039.4745147</v>
      </c>
      <c r="J245" s="96">
        <f t="shared" si="50"/>
        <v>2836212.7202671506</v>
      </c>
      <c r="K245" s="94"/>
      <c r="L245" s="94"/>
    </row>
    <row r="246" spans="1:12">
      <c r="A246" s="95" t="str">
        <f t="shared" si="38"/>
        <v>Safflower</v>
      </c>
      <c r="B246" s="95" t="s">
        <v>368</v>
      </c>
      <c r="C246" s="257"/>
      <c r="D246" s="96">
        <f t="shared" ref="D246:J246" si="51">B81*$C$246*D$172</f>
        <v>0</v>
      </c>
      <c r="E246" s="96">
        <f t="shared" si="51"/>
        <v>0</v>
      </c>
      <c r="F246" s="96">
        <f t="shared" si="51"/>
        <v>0</v>
      </c>
      <c r="G246" s="96">
        <f t="shared" si="51"/>
        <v>0</v>
      </c>
      <c r="H246" s="96">
        <f t="shared" si="51"/>
        <v>0</v>
      </c>
      <c r="I246" s="96">
        <f t="shared" si="51"/>
        <v>0</v>
      </c>
      <c r="J246" s="96">
        <f t="shared" si="51"/>
        <v>0</v>
      </c>
      <c r="K246" s="94"/>
      <c r="L246" s="94"/>
    </row>
    <row r="247" spans="1:12">
      <c r="A247" s="95">
        <f t="shared" si="38"/>
        <v>0</v>
      </c>
      <c r="B247" s="95" t="s">
        <v>368</v>
      </c>
      <c r="C247" s="257"/>
      <c r="D247" s="96">
        <f t="shared" ref="D247:J247" si="52">B82*$C$247*D$172</f>
        <v>0</v>
      </c>
      <c r="E247" s="96">
        <f t="shared" si="52"/>
        <v>0</v>
      </c>
      <c r="F247" s="96">
        <f t="shared" si="52"/>
        <v>0</v>
      </c>
      <c r="G247" s="96">
        <f t="shared" si="52"/>
        <v>0</v>
      </c>
      <c r="H247" s="96">
        <f t="shared" si="52"/>
        <v>0</v>
      </c>
      <c r="I247" s="96">
        <f t="shared" si="52"/>
        <v>0</v>
      </c>
      <c r="J247" s="96">
        <f t="shared" si="52"/>
        <v>0</v>
      </c>
      <c r="K247" s="94"/>
      <c r="L247" s="94"/>
    </row>
    <row r="248" spans="1:12">
      <c r="A248" s="95">
        <f t="shared" si="38"/>
        <v>0</v>
      </c>
      <c r="B248" s="95" t="s">
        <v>368</v>
      </c>
      <c r="C248" s="257"/>
      <c r="D248" s="96">
        <f t="shared" ref="D248:J248" si="53">B83*$C$248*D$172</f>
        <v>0</v>
      </c>
      <c r="E248" s="96">
        <f t="shared" si="53"/>
        <v>0</v>
      </c>
      <c r="F248" s="96">
        <f t="shared" si="53"/>
        <v>0</v>
      </c>
      <c r="G248" s="96">
        <f t="shared" si="53"/>
        <v>0</v>
      </c>
      <c r="H248" s="96">
        <f t="shared" si="53"/>
        <v>0</v>
      </c>
      <c r="I248" s="96">
        <f t="shared" si="53"/>
        <v>0</v>
      </c>
      <c r="J248" s="96">
        <f t="shared" si="53"/>
        <v>0</v>
      </c>
      <c r="K248" s="94"/>
      <c r="L248" s="94"/>
    </row>
    <row r="249" spans="1:12">
      <c r="A249" s="95">
        <f t="shared" si="38"/>
        <v>0</v>
      </c>
      <c r="B249" s="95" t="s">
        <v>368</v>
      </c>
      <c r="C249" s="257"/>
      <c r="D249" s="96">
        <f t="shared" ref="D249:J255" si="54">B84*$C249*D$172</f>
        <v>0</v>
      </c>
      <c r="E249" s="96">
        <f t="shared" si="54"/>
        <v>0</v>
      </c>
      <c r="F249" s="96">
        <f t="shared" si="54"/>
        <v>0</v>
      </c>
      <c r="G249" s="96">
        <f t="shared" si="54"/>
        <v>0</v>
      </c>
      <c r="H249" s="96">
        <f t="shared" si="54"/>
        <v>0</v>
      </c>
      <c r="I249" s="96">
        <f t="shared" si="54"/>
        <v>0</v>
      </c>
      <c r="J249" s="96">
        <f t="shared" si="54"/>
        <v>0</v>
      </c>
      <c r="K249" s="94"/>
      <c r="L249" s="94"/>
    </row>
    <row r="250" spans="1:12">
      <c r="A250" s="95" t="str">
        <f t="shared" si="38"/>
        <v>Groundnut</v>
      </c>
      <c r="B250" s="95" t="s">
        <v>368</v>
      </c>
      <c r="C250" s="257"/>
      <c r="D250" s="96">
        <f t="shared" si="54"/>
        <v>0</v>
      </c>
      <c r="E250" s="96">
        <f t="shared" si="54"/>
        <v>0</v>
      </c>
      <c r="F250" s="96">
        <f t="shared" si="54"/>
        <v>0</v>
      </c>
      <c r="G250" s="96">
        <f t="shared" si="54"/>
        <v>0</v>
      </c>
      <c r="H250" s="96">
        <f t="shared" si="54"/>
        <v>0</v>
      </c>
      <c r="I250" s="96">
        <f t="shared" si="54"/>
        <v>0</v>
      </c>
      <c r="J250" s="96">
        <f t="shared" si="54"/>
        <v>0</v>
      </c>
      <c r="K250" s="94"/>
      <c r="L250" s="94"/>
    </row>
    <row r="251" spans="1:12">
      <c r="A251" s="95">
        <f t="shared" si="38"/>
        <v>0</v>
      </c>
      <c r="B251" s="95" t="s">
        <v>368</v>
      </c>
      <c r="C251" s="257"/>
      <c r="D251" s="96">
        <f t="shared" si="54"/>
        <v>0</v>
      </c>
      <c r="E251" s="96">
        <f t="shared" si="54"/>
        <v>0</v>
      </c>
      <c r="F251" s="96">
        <f t="shared" si="54"/>
        <v>0</v>
      </c>
      <c r="G251" s="96">
        <f t="shared" si="54"/>
        <v>0</v>
      </c>
      <c r="H251" s="96">
        <f t="shared" si="54"/>
        <v>0</v>
      </c>
      <c r="I251" s="96">
        <f t="shared" si="54"/>
        <v>0</v>
      </c>
      <c r="J251" s="96">
        <f t="shared" si="54"/>
        <v>0</v>
      </c>
      <c r="K251" s="94"/>
      <c r="L251" s="94"/>
    </row>
    <row r="252" spans="1:12">
      <c r="A252" s="95">
        <f t="shared" si="38"/>
        <v>0</v>
      </c>
      <c r="B252" s="95" t="s">
        <v>368</v>
      </c>
      <c r="C252" s="257"/>
      <c r="D252" s="96">
        <f t="shared" si="54"/>
        <v>0</v>
      </c>
      <c r="E252" s="96">
        <f t="shared" si="54"/>
        <v>0</v>
      </c>
      <c r="F252" s="96">
        <f t="shared" si="54"/>
        <v>0</v>
      </c>
      <c r="G252" s="96">
        <f t="shared" si="54"/>
        <v>0</v>
      </c>
      <c r="H252" s="96">
        <f t="shared" si="54"/>
        <v>0</v>
      </c>
      <c r="I252" s="96">
        <f t="shared" si="54"/>
        <v>0</v>
      </c>
      <c r="J252" s="96">
        <f t="shared" si="54"/>
        <v>0</v>
      </c>
      <c r="K252" s="94"/>
      <c r="L252" s="94"/>
    </row>
    <row r="253" spans="1:12">
      <c r="A253" s="95">
        <f t="shared" si="38"/>
        <v>0</v>
      </c>
      <c r="B253" s="95" t="s">
        <v>368</v>
      </c>
      <c r="C253" s="257"/>
      <c r="D253" s="96">
        <f t="shared" si="54"/>
        <v>0</v>
      </c>
      <c r="E253" s="96">
        <f t="shared" si="54"/>
        <v>0</v>
      </c>
      <c r="F253" s="96">
        <f t="shared" si="54"/>
        <v>0</v>
      </c>
      <c r="G253" s="96">
        <f t="shared" si="54"/>
        <v>0</v>
      </c>
      <c r="H253" s="96">
        <f t="shared" si="54"/>
        <v>0</v>
      </c>
      <c r="I253" s="96">
        <f t="shared" si="54"/>
        <v>0</v>
      </c>
      <c r="J253" s="96">
        <f t="shared" si="54"/>
        <v>0</v>
      </c>
      <c r="K253" s="94"/>
      <c r="L253" s="94"/>
    </row>
    <row r="254" spans="1:12">
      <c r="A254" s="95">
        <f t="shared" si="38"/>
        <v>0</v>
      </c>
      <c r="B254" s="95" t="s">
        <v>368</v>
      </c>
      <c r="C254" s="257"/>
      <c r="D254" s="96">
        <f t="shared" si="54"/>
        <v>0</v>
      </c>
      <c r="E254" s="96">
        <f t="shared" si="54"/>
        <v>0</v>
      </c>
      <c r="F254" s="96">
        <f t="shared" si="54"/>
        <v>0</v>
      </c>
      <c r="G254" s="96">
        <f t="shared" si="54"/>
        <v>0</v>
      </c>
      <c r="H254" s="96">
        <f t="shared" si="54"/>
        <v>0</v>
      </c>
      <c r="I254" s="96">
        <f t="shared" si="54"/>
        <v>0</v>
      </c>
      <c r="J254" s="96">
        <f t="shared" si="54"/>
        <v>0</v>
      </c>
      <c r="K254" s="94"/>
      <c r="L254" s="94"/>
    </row>
    <row r="255" spans="1:12">
      <c r="A255" s="95">
        <f t="shared" ref="A255:A274" si="55">A201</f>
        <v>0</v>
      </c>
      <c r="B255" s="95"/>
      <c r="C255" s="257"/>
      <c r="D255" s="96">
        <f t="shared" si="54"/>
        <v>0</v>
      </c>
      <c r="E255" s="96">
        <f t="shared" si="54"/>
        <v>0</v>
      </c>
      <c r="F255" s="96">
        <f t="shared" si="54"/>
        <v>0</v>
      </c>
      <c r="G255" s="96">
        <f t="shared" si="54"/>
        <v>0</v>
      </c>
      <c r="H255" s="96">
        <f t="shared" si="54"/>
        <v>0</v>
      </c>
      <c r="I255" s="96">
        <f t="shared" si="54"/>
        <v>0</v>
      </c>
      <c r="J255" s="96">
        <f t="shared" si="54"/>
        <v>0</v>
      </c>
      <c r="K255" s="94"/>
      <c r="L255" s="94"/>
    </row>
    <row r="256" spans="1:12">
      <c r="A256" s="97" t="str">
        <f t="shared" si="55"/>
        <v>Fruit  &amp; Vegetables Crop Production Details</v>
      </c>
      <c r="B256" s="95"/>
      <c r="C256" s="257"/>
      <c r="D256" s="96"/>
      <c r="E256" s="96"/>
      <c r="F256" s="96"/>
      <c r="G256" s="96"/>
      <c r="H256" s="96"/>
      <c r="I256" s="96"/>
      <c r="J256" s="96"/>
      <c r="K256" s="94"/>
      <c r="L256" s="94"/>
    </row>
    <row r="257" spans="1:12">
      <c r="A257" s="95" t="str">
        <f t="shared" si="55"/>
        <v>Onion</v>
      </c>
      <c r="B257" s="95" t="s">
        <v>368</v>
      </c>
      <c r="C257" s="257">
        <v>1800</v>
      </c>
      <c r="D257" s="96">
        <f t="shared" ref="D257:D274" si="56">B92*$C257*D$172</f>
        <v>0</v>
      </c>
      <c r="E257" s="96">
        <f t="shared" ref="E257:E274" si="57">C92*$C257*E$172</f>
        <v>0</v>
      </c>
      <c r="F257" s="96">
        <f t="shared" ref="F257:F274" si="58">D92*$C257*F$172</f>
        <v>0</v>
      </c>
      <c r="G257" s="96">
        <f t="shared" ref="G257:G274" si="59">E92*$C257*G$172</f>
        <v>0</v>
      </c>
      <c r="H257" s="96">
        <f t="shared" ref="H257:H274" si="60">F92*$C257*H$172</f>
        <v>0</v>
      </c>
      <c r="I257" s="96">
        <f t="shared" ref="I257:I274" si="61">G92*$C257*I$172</f>
        <v>0</v>
      </c>
      <c r="J257" s="96">
        <f t="shared" ref="J257:J274" si="62">H92*$C257*J$172</f>
        <v>0</v>
      </c>
      <c r="K257" s="94"/>
      <c r="L257" s="94"/>
    </row>
    <row r="258" spans="1:12">
      <c r="A258" s="95" t="str">
        <f t="shared" si="55"/>
        <v>Tomato</v>
      </c>
      <c r="B258" s="95" t="s">
        <v>368</v>
      </c>
      <c r="C258" s="257">
        <v>800</v>
      </c>
      <c r="D258" s="96">
        <f t="shared" si="56"/>
        <v>0</v>
      </c>
      <c r="E258" s="96">
        <f t="shared" si="57"/>
        <v>0</v>
      </c>
      <c r="F258" s="96">
        <f t="shared" si="58"/>
        <v>0</v>
      </c>
      <c r="G258" s="96">
        <f t="shared" si="59"/>
        <v>0</v>
      </c>
      <c r="H258" s="96">
        <f t="shared" si="60"/>
        <v>0</v>
      </c>
      <c r="I258" s="96">
        <f t="shared" si="61"/>
        <v>0</v>
      </c>
      <c r="J258" s="96">
        <f t="shared" si="62"/>
        <v>0</v>
      </c>
      <c r="K258" s="94"/>
      <c r="L258" s="94"/>
    </row>
    <row r="259" spans="1:12">
      <c r="A259" s="95" t="str">
        <f t="shared" si="55"/>
        <v>Okra</v>
      </c>
      <c r="B259" s="95" t="s">
        <v>368</v>
      </c>
      <c r="C259" s="257">
        <v>1300</v>
      </c>
      <c r="D259" s="96">
        <f t="shared" si="56"/>
        <v>0</v>
      </c>
      <c r="E259" s="96">
        <f t="shared" si="57"/>
        <v>0</v>
      </c>
      <c r="F259" s="96">
        <f t="shared" si="58"/>
        <v>0</v>
      </c>
      <c r="G259" s="96">
        <f t="shared" si="59"/>
        <v>0</v>
      </c>
      <c r="H259" s="96">
        <f t="shared" si="60"/>
        <v>0</v>
      </c>
      <c r="I259" s="96">
        <f t="shared" si="61"/>
        <v>0</v>
      </c>
      <c r="J259" s="96">
        <f t="shared" si="62"/>
        <v>0</v>
      </c>
      <c r="K259" s="94"/>
      <c r="L259" s="94"/>
    </row>
    <row r="260" spans="1:12">
      <c r="A260" s="95" t="str">
        <f t="shared" si="55"/>
        <v>Chilli</v>
      </c>
      <c r="B260" s="95" t="s">
        <v>368</v>
      </c>
      <c r="C260" s="257">
        <v>2800</v>
      </c>
      <c r="D260" s="96">
        <f t="shared" si="56"/>
        <v>0</v>
      </c>
      <c r="E260" s="96">
        <f t="shared" si="57"/>
        <v>0</v>
      </c>
      <c r="F260" s="96">
        <f t="shared" si="58"/>
        <v>0</v>
      </c>
      <c r="G260" s="96">
        <f t="shared" si="59"/>
        <v>0</v>
      </c>
      <c r="H260" s="96">
        <f t="shared" si="60"/>
        <v>0</v>
      </c>
      <c r="I260" s="96">
        <f t="shared" si="61"/>
        <v>0</v>
      </c>
      <c r="J260" s="96">
        <f t="shared" si="62"/>
        <v>0</v>
      </c>
      <c r="K260" s="94"/>
      <c r="L260" s="94"/>
    </row>
    <row r="261" spans="1:12">
      <c r="A261" s="95" t="str">
        <f t="shared" si="55"/>
        <v>Potato</v>
      </c>
      <c r="B261" s="95" t="s">
        <v>368</v>
      </c>
      <c r="C261" s="257">
        <v>1300</v>
      </c>
      <c r="D261" s="96">
        <f t="shared" si="56"/>
        <v>0</v>
      </c>
      <c r="E261" s="96">
        <f t="shared" si="57"/>
        <v>0</v>
      </c>
      <c r="F261" s="96">
        <f t="shared" si="58"/>
        <v>0</v>
      </c>
      <c r="G261" s="96">
        <f t="shared" si="59"/>
        <v>0</v>
      </c>
      <c r="H261" s="96">
        <f t="shared" si="60"/>
        <v>0</v>
      </c>
      <c r="I261" s="96">
        <f t="shared" si="61"/>
        <v>0</v>
      </c>
      <c r="J261" s="96">
        <f t="shared" si="62"/>
        <v>0</v>
      </c>
      <c r="K261" s="94"/>
      <c r="L261" s="94"/>
    </row>
    <row r="262" spans="1:12">
      <c r="A262" s="95">
        <f t="shared" si="55"/>
        <v>0</v>
      </c>
      <c r="B262" s="95" t="s">
        <v>368</v>
      </c>
      <c r="C262" s="257"/>
      <c r="D262" s="96">
        <f t="shared" si="56"/>
        <v>0</v>
      </c>
      <c r="E262" s="96">
        <f t="shared" si="57"/>
        <v>0</v>
      </c>
      <c r="F262" s="96">
        <f t="shared" si="58"/>
        <v>0</v>
      </c>
      <c r="G262" s="96">
        <f t="shared" si="59"/>
        <v>0</v>
      </c>
      <c r="H262" s="96">
        <f t="shared" si="60"/>
        <v>0</v>
      </c>
      <c r="I262" s="96">
        <f t="shared" si="61"/>
        <v>0</v>
      </c>
      <c r="J262" s="96">
        <f t="shared" si="62"/>
        <v>0</v>
      </c>
      <c r="K262" s="94"/>
      <c r="L262" s="94"/>
    </row>
    <row r="263" spans="1:12">
      <c r="A263" s="95">
        <f t="shared" si="55"/>
        <v>0</v>
      </c>
      <c r="B263" s="95" t="s">
        <v>368</v>
      </c>
      <c r="C263" s="257"/>
      <c r="D263" s="96">
        <f t="shared" si="56"/>
        <v>0</v>
      </c>
      <c r="E263" s="96">
        <f t="shared" si="57"/>
        <v>0</v>
      </c>
      <c r="F263" s="96">
        <f t="shared" si="58"/>
        <v>0</v>
      </c>
      <c r="G263" s="96">
        <f t="shared" si="59"/>
        <v>0</v>
      </c>
      <c r="H263" s="96">
        <f t="shared" si="60"/>
        <v>0</v>
      </c>
      <c r="I263" s="96">
        <f t="shared" si="61"/>
        <v>0</v>
      </c>
      <c r="J263" s="96">
        <f t="shared" si="62"/>
        <v>0</v>
      </c>
      <c r="K263" s="94"/>
      <c r="L263" s="94"/>
    </row>
    <row r="264" spans="1:12">
      <c r="A264" s="95">
        <f t="shared" si="55"/>
        <v>0</v>
      </c>
      <c r="B264" s="95" t="s">
        <v>368</v>
      </c>
      <c r="C264" s="257"/>
      <c r="D264" s="96">
        <f t="shared" si="56"/>
        <v>0</v>
      </c>
      <c r="E264" s="96">
        <f t="shared" si="57"/>
        <v>0</v>
      </c>
      <c r="F264" s="96">
        <f t="shared" si="58"/>
        <v>0</v>
      </c>
      <c r="G264" s="96">
        <f t="shared" si="59"/>
        <v>0</v>
      </c>
      <c r="H264" s="96">
        <f t="shared" si="60"/>
        <v>0</v>
      </c>
      <c r="I264" s="96">
        <f t="shared" si="61"/>
        <v>0</v>
      </c>
      <c r="J264" s="96">
        <f t="shared" si="62"/>
        <v>0</v>
      </c>
      <c r="K264" s="94"/>
      <c r="L264" s="94"/>
    </row>
    <row r="265" spans="1:12">
      <c r="A265" s="95">
        <f t="shared" si="55"/>
        <v>0</v>
      </c>
      <c r="B265" s="95" t="s">
        <v>368</v>
      </c>
      <c r="C265" s="257"/>
      <c r="D265" s="96">
        <f t="shared" si="56"/>
        <v>0</v>
      </c>
      <c r="E265" s="96">
        <f t="shared" si="57"/>
        <v>0</v>
      </c>
      <c r="F265" s="96">
        <f t="shared" si="58"/>
        <v>0</v>
      </c>
      <c r="G265" s="96">
        <f t="shared" si="59"/>
        <v>0</v>
      </c>
      <c r="H265" s="96">
        <f t="shared" si="60"/>
        <v>0</v>
      </c>
      <c r="I265" s="96">
        <f t="shared" si="61"/>
        <v>0</v>
      </c>
      <c r="J265" s="96">
        <f t="shared" si="62"/>
        <v>0</v>
      </c>
      <c r="K265" s="94"/>
      <c r="L265" s="94"/>
    </row>
    <row r="266" spans="1:12">
      <c r="A266" s="95" t="str">
        <f t="shared" si="55"/>
        <v>Onion</v>
      </c>
      <c r="B266" s="95" t="s">
        <v>368</v>
      </c>
      <c r="C266" s="257">
        <v>1800</v>
      </c>
      <c r="D266" s="96">
        <f t="shared" si="56"/>
        <v>0</v>
      </c>
      <c r="E266" s="96">
        <f t="shared" si="57"/>
        <v>0</v>
      </c>
      <c r="F266" s="96">
        <f t="shared" si="58"/>
        <v>0</v>
      </c>
      <c r="G266" s="96">
        <f t="shared" si="59"/>
        <v>0</v>
      </c>
      <c r="H266" s="96">
        <f t="shared" si="60"/>
        <v>0</v>
      </c>
      <c r="I266" s="96">
        <f t="shared" si="61"/>
        <v>0</v>
      </c>
      <c r="J266" s="96">
        <f t="shared" si="62"/>
        <v>0</v>
      </c>
      <c r="K266" s="94"/>
      <c r="L266" s="94"/>
    </row>
    <row r="267" spans="1:12">
      <c r="A267" s="95" t="str">
        <f t="shared" si="55"/>
        <v>Tomato</v>
      </c>
      <c r="B267" s="95" t="s">
        <v>368</v>
      </c>
      <c r="C267" s="257">
        <v>800</v>
      </c>
      <c r="D267" s="96">
        <f t="shared" si="56"/>
        <v>0</v>
      </c>
      <c r="E267" s="96">
        <f t="shared" si="57"/>
        <v>0</v>
      </c>
      <c r="F267" s="96">
        <f t="shared" si="58"/>
        <v>0</v>
      </c>
      <c r="G267" s="96">
        <f t="shared" si="59"/>
        <v>0</v>
      </c>
      <c r="H267" s="96">
        <f t="shared" si="60"/>
        <v>0</v>
      </c>
      <c r="I267" s="96">
        <f t="shared" si="61"/>
        <v>0</v>
      </c>
      <c r="J267" s="96">
        <f t="shared" si="62"/>
        <v>0</v>
      </c>
      <c r="K267" s="94"/>
      <c r="L267" s="94"/>
    </row>
    <row r="268" spans="1:12">
      <c r="A268" s="95" t="str">
        <f t="shared" si="55"/>
        <v>Okra</v>
      </c>
      <c r="B268" s="95" t="s">
        <v>368</v>
      </c>
      <c r="C268" s="257">
        <v>1300</v>
      </c>
      <c r="D268" s="96">
        <f t="shared" si="56"/>
        <v>0</v>
      </c>
      <c r="E268" s="96">
        <f t="shared" si="57"/>
        <v>0</v>
      </c>
      <c r="F268" s="96">
        <f t="shared" si="58"/>
        <v>0</v>
      </c>
      <c r="G268" s="96">
        <f t="shared" si="59"/>
        <v>0</v>
      </c>
      <c r="H268" s="96">
        <f t="shared" si="60"/>
        <v>0</v>
      </c>
      <c r="I268" s="96">
        <f t="shared" si="61"/>
        <v>0</v>
      </c>
      <c r="J268" s="96">
        <f t="shared" si="62"/>
        <v>0</v>
      </c>
      <c r="K268" s="94"/>
      <c r="L268" s="94"/>
    </row>
    <row r="269" spans="1:12">
      <c r="A269" s="95" t="str">
        <f t="shared" si="55"/>
        <v>Chilli</v>
      </c>
      <c r="B269" s="95" t="s">
        <v>368</v>
      </c>
      <c r="C269" s="257">
        <v>2800</v>
      </c>
      <c r="D269" s="96">
        <f t="shared" si="56"/>
        <v>0</v>
      </c>
      <c r="E269" s="96">
        <f t="shared" si="57"/>
        <v>0</v>
      </c>
      <c r="F269" s="96">
        <f t="shared" si="58"/>
        <v>0</v>
      </c>
      <c r="G269" s="96">
        <f t="shared" si="59"/>
        <v>0</v>
      </c>
      <c r="H269" s="96">
        <f t="shared" si="60"/>
        <v>0</v>
      </c>
      <c r="I269" s="96">
        <f t="shared" si="61"/>
        <v>0</v>
      </c>
      <c r="J269" s="96">
        <f t="shared" si="62"/>
        <v>0</v>
      </c>
      <c r="K269" s="94"/>
      <c r="L269" s="94"/>
    </row>
    <row r="270" spans="1:12">
      <c r="A270" s="95" t="str">
        <f t="shared" si="55"/>
        <v>Brinjal</v>
      </c>
      <c r="B270" s="95" t="s">
        <v>368</v>
      </c>
      <c r="C270" s="257">
        <v>1800</v>
      </c>
      <c r="D270" s="96">
        <f t="shared" si="56"/>
        <v>0</v>
      </c>
      <c r="E270" s="96">
        <f t="shared" si="57"/>
        <v>0</v>
      </c>
      <c r="F270" s="96">
        <f t="shared" si="58"/>
        <v>0</v>
      </c>
      <c r="G270" s="96">
        <f t="shared" si="59"/>
        <v>0</v>
      </c>
      <c r="H270" s="96">
        <f t="shared" si="60"/>
        <v>0</v>
      </c>
      <c r="I270" s="96">
        <f t="shared" si="61"/>
        <v>0</v>
      </c>
      <c r="J270" s="96">
        <f t="shared" si="62"/>
        <v>0</v>
      </c>
      <c r="K270" s="94"/>
      <c r="L270" s="94"/>
    </row>
    <row r="271" spans="1:12">
      <c r="A271" s="95">
        <f t="shared" si="55"/>
        <v>0</v>
      </c>
      <c r="B271" s="95" t="s">
        <v>368</v>
      </c>
      <c r="C271" s="257"/>
      <c r="D271" s="96">
        <f t="shared" si="56"/>
        <v>0</v>
      </c>
      <c r="E271" s="96">
        <f t="shared" si="57"/>
        <v>0</v>
      </c>
      <c r="F271" s="96">
        <f t="shared" si="58"/>
        <v>0</v>
      </c>
      <c r="G271" s="96">
        <f t="shared" si="59"/>
        <v>0</v>
      </c>
      <c r="H271" s="96">
        <f t="shared" si="60"/>
        <v>0</v>
      </c>
      <c r="I271" s="96">
        <f t="shared" si="61"/>
        <v>0</v>
      </c>
      <c r="J271" s="96">
        <f t="shared" si="62"/>
        <v>0</v>
      </c>
      <c r="K271" s="94"/>
      <c r="L271" s="94"/>
    </row>
    <row r="272" spans="1:12">
      <c r="A272" s="95">
        <f t="shared" si="55"/>
        <v>0</v>
      </c>
      <c r="B272" s="95" t="s">
        <v>368</v>
      </c>
      <c r="C272" s="257"/>
      <c r="D272" s="96">
        <f t="shared" si="56"/>
        <v>0</v>
      </c>
      <c r="E272" s="96">
        <f t="shared" si="57"/>
        <v>0</v>
      </c>
      <c r="F272" s="96">
        <f t="shared" si="58"/>
        <v>0</v>
      </c>
      <c r="G272" s="96">
        <f t="shared" si="59"/>
        <v>0</v>
      </c>
      <c r="H272" s="96">
        <f t="shared" si="60"/>
        <v>0</v>
      </c>
      <c r="I272" s="96">
        <f t="shared" si="61"/>
        <v>0</v>
      </c>
      <c r="J272" s="96">
        <f t="shared" si="62"/>
        <v>0</v>
      </c>
      <c r="K272" s="94"/>
      <c r="L272" s="94"/>
    </row>
    <row r="273" spans="1:12">
      <c r="A273" s="95">
        <f t="shared" si="55"/>
        <v>0</v>
      </c>
      <c r="B273" s="95" t="s">
        <v>368</v>
      </c>
      <c r="C273" s="257"/>
      <c r="D273" s="96">
        <f t="shared" si="56"/>
        <v>0</v>
      </c>
      <c r="E273" s="96">
        <f t="shared" si="57"/>
        <v>0</v>
      </c>
      <c r="F273" s="96">
        <f t="shared" si="58"/>
        <v>0</v>
      </c>
      <c r="G273" s="96">
        <f t="shared" si="59"/>
        <v>0</v>
      </c>
      <c r="H273" s="96">
        <f t="shared" si="60"/>
        <v>0</v>
      </c>
      <c r="I273" s="96">
        <f t="shared" si="61"/>
        <v>0</v>
      </c>
      <c r="J273" s="96">
        <f t="shared" si="62"/>
        <v>0</v>
      </c>
      <c r="K273" s="94"/>
      <c r="L273" s="94"/>
    </row>
    <row r="274" spans="1:12">
      <c r="A274" s="95">
        <f t="shared" si="55"/>
        <v>0</v>
      </c>
      <c r="B274" s="95" t="s">
        <v>368</v>
      </c>
      <c r="C274" s="257"/>
      <c r="D274" s="96">
        <f t="shared" si="56"/>
        <v>0</v>
      </c>
      <c r="E274" s="96">
        <f t="shared" si="57"/>
        <v>0</v>
      </c>
      <c r="F274" s="96">
        <f t="shared" si="58"/>
        <v>0</v>
      </c>
      <c r="G274" s="96">
        <f t="shared" si="59"/>
        <v>0</v>
      </c>
      <c r="H274" s="96">
        <f t="shared" si="60"/>
        <v>0</v>
      </c>
      <c r="I274" s="96">
        <f t="shared" si="61"/>
        <v>0</v>
      </c>
      <c r="J274" s="96">
        <f t="shared" si="62"/>
        <v>0</v>
      </c>
      <c r="K274" s="94"/>
      <c r="L274" s="94"/>
    </row>
    <row r="275" spans="1:12">
      <c r="A275" s="95" t="str">
        <f>A224</f>
        <v>Pomegranate</v>
      </c>
      <c r="B275" s="95" t="s">
        <v>368</v>
      </c>
      <c r="C275" s="257">
        <v>4700</v>
      </c>
      <c r="D275" s="96">
        <f t="shared" ref="D275:J280" si="63">B113*$C275*D$172</f>
        <v>0</v>
      </c>
      <c r="E275" s="96">
        <f t="shared" si="63"/>
        <v>0</v>
      </c>
      <c r="F275" s="96">
        <f t="shared" si="63"/>
        <v>0</v>
      </c>
      <c r="G275" s="96">
        <f t="shared" si="63"/>
        <v>0</v>
      </c>
      <c r="H275" s="96">
        <f t="shared" si="63"/>
        <v>0</v>
      </c>
      <c r="I275" s="96">
        <f t="shared" si="63"/>
        <v>0</v>
      </c>
      <c r="J275" s="96">
        <f t="shared" si="63"/>
        <v>0</v>
      </c>
      <c r="K275" s="94"/>
      <c r="L275" s="94"/>
    </row>
    <row r="276" spans="1:12">
      <c r="A276" s="95" t="str">
        <f>A225</f>
        <v>Custard Apple</v>
      </c>
      <c r="B276" s="95" t="s">
        <v>368</v>
      </c>
      <c r="C276" s="257"/>
      <c r="D276" s="96">
        <f t="shared" si="63"/>
        <v>0</v>
      </c>
      <c r="E276" s="96">
        <f t="shared" si="63"/>
        <v>0</v>
      </c>
      <c r="F276" s="96">
        <f t="shared" si="63"/>
        <v>0</v>
      </c>
      <c r="G276" s="96">
        <f t="shared" si="63"/>
        <v>0</v>
      </c>
      <c r="H276" s="96">
        <f t="shared" si="63"/>
        <v>0</v>
      </c>
      <c r="I276" s="96">
        <f t="shared" si="63"/>
        <v>0</v>
      </c>
      <c r="J276" s="96">
        <f t="shared" si="63"/>
        <v>0</v>
      </c>
      <c r="K276" s="94"/>
      <c r="L276" s="94"/>
    </row>
    <row r="277" spans="1:12">
      <c r="A277" s="95" t="str">
        <f>A226</f>
        <v>Guava</v>
      </c>
      <c r="B277" s="95" t="s">
        <v>368</v>
      </c>
      <c r="C277" s="257"/>
      <c r="D277" s="96">
        <f t="shared" si="63"/>
        <v>0</v>
      </c>
      <c r="E277" s="96">
        <f t="shared" si="63"/>
        <v>0</v>
      </c>
      <c r="F277" s="96">
        <f t="shared" si="63"/>
        <v>0</v>
      </c>
      <c r="G277" s="96">
        <f t="shared" si="63"/>
        <v>0</v>
      </c>
      <c r="H277" s="96">
        <f t="shared" si="63"/>
        <v>0</v>
      </c>
      <c r="I277" s="96">
        <f t="shared" si="63"/>
        <v>0</v>
      </c>
      <c r="J277" s="96">
        <f t="shared" si="63"/>
        <v>0</v>
      </c>
      <c r="K277" s="94"/>
      <c r="L277" s="94"/>
    </row>
    <row r="278" spans="1:12">
      <c r="A278" s="95" t="str">
        <f>A227</f>
        <v>Citrus</v>
      </c>
      <c r="B278" s="95" t="s">
        <v>368</v>
      </c>
      <c r="C278" s="257"/>
      <c r="D278" s="96">
        <f t="shared" si="63"/>
        <v>0</v>
      </c>
      <c r="E278" s="96">
        <f t="shared" si="63"/>
        <v>0</v>
      </c>
      <c r="F278" s="96">
        <f t="shared" si="63"/>
        <v>0</v>
      </c>
      <c r="G278" s="96">
        <f t="shared" si="63"/>
        <v>0</v>
      </c>
      <c r="H278" s="96">
        <f t="shared" si="63"/>
        <v>0</v>
      </c>
      <c r="I278" s="96">
        <f t="shared" si="63"/>
        <v>0</v>
      </c>
      <c r="J278" s="96">
        <f t="shared" si="63"/>
        <v>0</v>
      </c>
      <c r="K278" s="94"/>
      <c r="L278" s="94"/>
    </row>
    <row r="279" spans="1:12">
      <c r="A279" s="95">
        <f>A228</f>
        <v>0</v>
      </c>
      <c r="B279" s="95" t="s">
        <v>368</v>
      </c>
      <c r="C279" s="257"/>
      <c r="D279" s="96">
        <f t="shared" si="63"/>
        <v>0</v>
      </c>
      <c r="E279" s="96">
        <f t="shared" si="63"/>
        <v>0</v>
      </c>
      <c r="F279" s="96">
        <f t="shared" si="63"/>
        <v>0</v>
      </c>
      <c r="G279" s="96">
        <f t="shared" si="63"/>
        <v>0</v>
      </c>
      <c r="H279" s="96">
        <f t="shared" si="63"/>
        <v>0</v>
      </c>
      <c r="I279" s="96">
        <f t="shared" si="63"/>
        <v>0</v>
      </c>
      <c r="J279" s="96">
        <f t="shared" si="63"/>
        <v>0</v>
      </c>
      <c r="K279" s="94"/>
      <c r="L279" s="94"/>
    </row>
    <row r="280" spans="1:12">
      <c r="A280" s="95">
        <f>A230</f>
        <v>0</v>
      </c>
      <c r="B280" s="95"/>
      <c r="C280" s="257"/>
      <c r="D280" s="96">
        <f t="shared" si="63"/>
        <v>0</v>
      </c>
      <c r="E280" s="96">
        <f t="shared" si="63"/>
        <v>0</v>
      </c>
      <c r="F280" s="96">
        <f t="shared" si="63"/>
        <v>0</v>
      </c>
      <c r="G280" s="96">
        <f t="shared" si="63"/>
        <v>0</v>
      </c>
      <c r="H280" s="96">
        <f t="shared" si="63"/>
        <v>0</v>
      </c>
      <c r="I280" s="96">
        <f t="shared" si="63"/>
        <v>0</v>
      </c>
      <c r="J280" s="96">
        <f t="shared" si="63"/>
        <v>0</v>
      </c>
      <c r="K280" s="94"/>
      <c r="L280" s="94"/>
    </row>
    <row r="281" spans="1:12">
      <c r="A281" s="95"/>
      <c r="B281" s="95"/>
      <c r="C281" s="257"/>
      <c r="D281" s="96"/>
      <c r="E281" s="96"/>
      <c r="F281" s="96"/>
      <c r="G281" s="96"/>
      <c r="H281" s="96"/>
      <c r="I281" s="96"/>
      <c r="J281" s="96"/>
      <c r="K281" s="94"/>
      <c r="L281" s="94"/>
    </row>
    <row r="282" spans="1:12">
      <c r="A282" s="95" t="s">
        <v>317</v>
      </c>
      <c r="B282" s="233">
        <v>10</v>
      </c>
      <c r="C282" s="233">
        <v>300</v>
      </c>
      <c r="D282" s="96">
        <f t="shared" ref="D282:J282" si="64">B10*$B$282*$C$282*D172</f>
        <v>174924.78044999999</v>
      </c>
      <c r="E282" s="96">
        <f t="shared" si="64"/>
        <v>229588.77434062501</v>
      </c>
      <c r="F282" s="96">
        <f t="shared" si="64"/>
        <v>289281.85566918756</v>
      </c>
      <c r="G282" s="96">
        <f t="shared" si="64"/>
        <v>354370.27319475473</v>
      </c>
      <c r="H282" s="96">
        <f t="shared" si="64"/>
        <v>425244.3278337057</v>
      </c>
      <c r="I282" s="96">
        <f t="shared" si="64"/>
        <v>502319.86225356493</v>
      </c>
      <c r="J282" s="96">
        <f t="shared" si="64"/>
        <v>586039.83929582557</v>
      </c>
      <c r="K282" s="94"/>
      <c r="L282" s="94"/>
    </row>
    <row r="283" spans="1:12">
      <c r="A283" s="95" t="s">
        <v>145</v>
      </c>
      <c r="B283" s="95">
        <f>'2.Capex Details'!H54*0.746*8</f>
        <v>298.39999999999998</v>
      </c>
      <c r="C283" s="233">
        <v>8</v>
      </c>
      <c r="D283" s="96">
        <f t="shared" ref="D283:J283" si="65">$B$283*$C$283*D172*B10</f>
        <v>139193.47863008</v>
      </c>
      <c r="E283" s="96">
        <f t="shared" si="65"/>
        <v>182691.44070198</v>
      </c>
      <c r="F283" s="96">
        <f t="shared" si="65"/>
        <v>230191.2152844948</v>
      </c>
      <c r="G283" s="96">
        <f t="shared" si="65"/>
        <v>281984.2387235061</v>
      </c>
      <c r="H283" s="96">
        <f t="shared" si="65"/>
        <v>338381.08646820736</v>
      </c>
      <c r="I283" s="96">
        <f t="shared" si="65"/>
        <v>399712.65839057002</v>
      </c>
      <c r="J283" s="96">
        <f t="shared" si="65"/>
        <v>466331.43478899833</v>
      </c>
      <c r="K283" s="94"/>
      <c r="L283" s="94"/>
    </row>
    <row r="284" spans="1:12">
      <c r="A284" s="95" t="s">
        <v>468</v>
      </c>
      <c r="B284" s="95"/>
      <c r="C284" s="233">
        <v>45</v>
      </c>
      <c r="D284" s="96">
        <f t="shared" ref="D284:J284" si="66">SUM(B120:B141)*$C$284*D172</f>
        <v>305418.66666569997</v>
      </c>
      <c r="E284" s="96">
        <f t="shared" si="66"/>
        <v>400861.99999873131</v>
      </c>
      <c r="F284" s="96">
        <f t="shared" si="66"/>
        <v>505086.11999840144</v>
      </c>
      <c r="G284" s="96">
        <f t="shared" si="66"/>
        <v>618730.49699804175</v>
      </c>
      <c r="H284" s="96">
        <f t="shared" si="66"/>
        <v>742476.59639765008</v>
      </c>
      <c r="I284" s="96">
        <f t="shared" si="66"/>
        <v>877050.47949472431</v>
      </c>
      <c r="J284" s="96">
        <f t="shared" si="66"/>
        <v>1023225.5594105115</v>
      </c>
      <c r="K284" s="94"/>
      <c r="L284" s="94"/>
    </row>
    <row r="285" spans="1:12">
      <c r="A285" s="95" t="s">
        <v>467</v>
      </c>
      <c r="B285" s="95"/>
      <c r="C285" s="233">
        <v>50</v>
      </c>
      <c r="D285" s="96">
        <f t="shared" ref="D285:J285" si="67">SUM(B120:B141)*$C$285*D172</f>
        <v>339354.074073</v>
      </c>
      <c r="E285" s="96">
        <f t="shared" si="67"/>
        <v>445402.22222081252</v>
      </c>
      <c r="F285" s="96">
        <f t="shared" si="67"/>
        <v>561206.79999822378</v>
      </c>
      <c r="G285" s="96">
        <f t="shared" si="67"/>
        <v>687478.32999782416</v>
      </c>
      <c r="H285" s="96">
        <f t="shared" si="67"/>
        <v>824973.99599738908</v>
      </c>
      <c r="I285" s="96">
        <f t="shared" si="67"/>
        <v>974500.5327719159</v>
      </c>
      <c r="J285" s="96">
        <f t="shared" si="67"/>
        <v>1136917.2882339016</v>
      </c>
      <c r="K285" s="94"/>
      <c r="L285" s="94"/>
    </row>
    <row r="286" spans="1:12">
      <c r="A286" s="10"/>
      <c r="B286" s="10"/>
      <c r="C286" s="10"/>
      <c r="D286" s="10"/>
      <c r="E286" s="10"/>
      <c r="F286" s="10"/>
      <c r="G286" s="10"/>
      <c r="H286" s="10"/>
      <c r="I286" s="10"/>
      <c r="J286" s="10"/>
      <c r="K286" s="94"/>
      <c r="L286" s="94"/>
    </row>
    <row r="287" spans="1:12">
      <c r="A287" s="10"/>
      <c r="B287" s="10"/>
      <c r="C287" s="10"/>
      <c r="D287" s="10"/>
      <c r="E287" s="10"/>
      <c r="F287" s="10"/>
      <c r="G287" s="10"/>
      <c r="H287" s="10"/>
      <c r="I287" s="10"/>
      <c r="J287" s="10"/>
      <c r="K287" s="94"/>
      <c r="L287" s="94"/>
    </row>
    <row r="288" spans="1:12">
      <c r="A288" s="10"/>
      <c r="B288" s="10"/>
      <c r="C288" s="10"/>
      <c r="D288" s="10"/>
      <c r="E288" s="10"/>
      <c r="F288" s="10"/>
      <c r="G288" s="10"/>
      <c r="H288" s="10"/>
      <c r="I288" s="10"/>
      <c r="J288" s="10"/>
      <c r="K288" s="94"/>
      <c r="L288" s="94"/>
    </row>
    <row r="289" spans="1:20">
      <c r="A289" s="99" t="s">
        <v>348</v>
      </c>
      <c r="B289" s="95"/>
      <c r="C289" s="95"/>
      <c r="D289" s="200"/>
      <c r="E289" s="200">
        <f>'5.Closing Stock &amp; W Capital'!F7</f>
        <v>1053433.076697289</v>
      </c>
      <c r="F289" s="200">
        <f>'5.Closing Stock &amp; W Capital'!G7</f>
        <v>1382630.9131651921</v>
      </c>
      <c r="G289" s="200">
        <f>'5.Closing Stock &amp; W Capital'!H7</f>
        <v>1742114.9505881418</v>
      </c>
      <c r="H289" s="200">
        <f>'5.Closing Stock &amp; W Capital'!I7</f>
        <v>2134090.8144704732</v>
      </c>
      <c r="I289" s="200">
        <f>'5.Closing Stock &amp; W Capital'!J7</f>
        <v>2560908.977364569</v>
      </c>
      <c r="J289" s="200">
        <f>'5.Closing Stock &amp; W Capital'!K7</f>
        <v>3025073.7295118966</v>
      </c>
      <c r="K289" s="94"/>
      <c r="L289" s="94"/>
    </row>
    <row r="290" spans="1:20">
      <c r="A290" s="99" t="s">
        <v>349</v>
      </c>
      <c r="B290" s="95"/>
      <c r="C290" s="200"/>
      <c r="D290" s="200">
        <f>'5.Closing Stock &amp; W Capital'!E16</f>
        <v>1053433.076697289</v>
      </c>
      <c r="E290" s="200">
        <f>'5.Closing Stock &amp; W Capital'!F16</f>
        <v>1382630.9131651921</v>
      </c>
      <c r="F290" s="200">
        <f>'5.Closing Stock &amp; W Capital'!G16</f>
        <v>1742114.9505881418</v>
      </c>
      <c r="G290" s="200">
        <f>'5.Closing Stock &amp; W Capital'!H16</f>
        <v>2134090.8144704732</v>
      </c>
      <c r="H290" s="200">
        <f>'5.Closing Stock &amp; W Capital'!I16</f>
        <v>2560908.977364569</v>
      </c>
      <c r="I290" s="200">
        <f>'5.Closing Stock &amp; W Capital'!J16</f>
        <v>3025073.7295118966</v>
      </c>
      <c r="J290" s="200">
        <f>'5.Closing Stock &amp; W Capital'!K16</f>
        <v>3529252.6844305466</v>
      </c>
      <c r="K290" s="94"/>
      <c r="L290" s="94"/>
    </row>
    <row r="291" spans="1:20">
      <c r="A291" s="99"/>
      <c r="B291" s="95"/>
      <c r="C291" s="203"/>
      <c r="D291" s="200"/>
      <c r="E291" s="200"/>
      <c r="F291" s="200"/>
      <c r="G291" s="200"/>
      <c r="H291" s="200"/>
      <c r="I291" s="200"/>
      <c r="J291" s="200"/>
      <c r="K291" s="94"/>
      <c r="L291" s="94"/>
      <c r="M291" s="94"/>
      <c r="N291" s="94"/>
      <c r="O291" s="94"/>
      <c r="P291" s="94"/>
      <c r="Q291" s="94"/>
      <c r="R291" s="94"/>
      <c r="S291" s="94"/>
      <c r="T291" s="94"/>
    </row>
    <row r="292" spans="1:20">
      <c r="A292" s="97" t="s">
        <v>326</v>
      </c>
      <c r="B292" s="97"/>
      <c r="C292" s="97"/>
      <c r="D292" s="115">
        <f t="shared" ref="D292:J292" si="68">SUM(D233:D289)-D290</f>
        <v>20354582.531321492</v>
      </c>
      <c r="E292" s="115">
        <f t="shared" si="68"/>
        <v>27768822.649056748</v>
      </c>
      <c r="F292" s="115">
        <f t="shared" si="68"/>
        <v>35044021.774338104</v>
      </c>
      <c r="G292" s="115">
        <f t="shared" si="68"/>
        <v>42977318.755524963</v>
      </c>
      <c r="H292" s="115">
        <f t="shared" si="68"/>
        <v>51616335.380394667</v>
      </c>
      <c r="I292" s="115">
        <f t="shared" si="68"/>
        <v>61011810.370862521</v>
      </c>
      <c r="J292" s="115">
        <f t="shared" si="68"/>
        <v>71217792.021926194</v>
      </c>
      <c r="K292" s="94"/>
      <c r="L292" s="94"/>
      <c r="M292" s="94"/>
      <c r="N292" s="94"/>
      <c r="O292" s="94"/>
      <c r="P292" s="94"/>
      <c r="Q292" s="94"/>
      <c r="R292" s="94"/>
      <c r="S292" s="94"/>
      <c r="T292" s="94"/>
    </row>
    <row r="293" spans="1:20">
      <c r="A293" s="97" t="s">
        <v>314</v>
      </c>
      <c r="B293" s="95"/>
      <c r="C293" s="95"/>
      <c r="D293" s="110"/>
      <c r="E293" s="110"/>
      <c r="F293" s="110"/>
      <c r="G293" s="110"/>
      <c r="H293" s="110"/>
      <c r="I293" s="95"/>
      <c r="J293" s="95"/>
      <c r="K293" s="94"/>
      <c r="L293" s="94"/>
      <c r="M293" s="94"/>
      <c r="N293" s="94"/>
      <c r="O293" s="94"/>
      <c r="P293" s="94"/>
      <c r="Q293" s="94"/>
      <c r="R293" s="94"/>
      <c r="S293" s="94"/>
      <c r="T293" s="94"/>
    </row>
    <row r="294" spans="1:20">
      <c r="A294" s="95" t="s">
        <v>190</v>
      </c>
      <c r="B294" s="233">
        <v>1</v>
      </c>
      <c r="C294" s="257">
        <v>10000</v>
      </c>
      <c r="D294" s="96">
        <f t="shared" ref="D294:J294" si="69">$B$294*$C$294*12*D172</f>
        <v>120000</v>
      </c>
      <c r="E294" s="96">
        <f t="shared" si="69"/>
        <v>126000</v>
      </c>
      <c r="F294" s="96">
        <f t="shared" si="69"/>
        <v>132300</v>
      </c>
      <c r="G294" s="96">
        <f t="shared" si="69"/>
        <v>138915.00000000003</v>
      </c>
      <c r="H294" s="96">
        <f t="shared" si="69"/>
        <v>145860.75000000003</v>
      </c>
      <c r="I294" s="96">
        <f t="shared" si="69"/>
        <v>153153.78750000003</v>
      </c>
      <c r="J294" s="96">
        <f t="shared" si="69"/>
        <v>160811.47687500005</v>
      </c>
      <c r="K294" s="94"/>
      <c r="L294" s="94"/>
      <c r="M294" s="94"/>
      <c r="N294" s="94"/>
      <c r="O294" s="94"/>
      <c r="P294" s="94"/>
      <c r="Q294" s="94"/>
      <c r="R294" s="94"/>
      <c r="S294" s="94"/>
      <c r="T294" s="94"/>
    </row>
    <row r="295" spans="1:20">
      <c r="A295" s="95"/>
      <c r="B295" s="233"/>
      <c r="C295" s="257"/>
      <c r="D295" s="96"/>
      <c r="E295" s="96"/>
      <c r="F295" s="96"/>
      <c r="G295" s="96"/>
      <c r="H295" s="96"/>
      <c r="I295" s="96"/>
      <c r="J295" s="96"/>
      <c r="K295" s="94"/>
      <c r="L295" s="94"/>
      <c r="M295" s="94"/>
      <c r="N295" s="204"/>
      <c r="O295" s="94"/>
      <c r="P295" s="94"/>
      <c r="Q295" s="94"/>
      <c r="R295" s="94"/>
      <c r="S295" s="94"/>
      <c r="T295" s="94"/>
    </row>
    <row r="296" spans="1:20">
      <c r="A296" s="95"/>
      <c r="B296" s="233"/>
      <c r="C296" s="257"/>
      <c r="D296" s="96"/>
      <c r="E296" s="96"/>
      <c r="F296" s="96"/>
      <c r="G296" s="96"/>
      <c r="H296" s="96"/>
      <c r="I296" s="96"/>
      <c r="J296" s="96"/>
      <c r="K296" s="94"/>
      <c r="L296" s="94"/>
      <c r="M296" s="94"/>
      <c r="N296" s="94"/>
      <c r="O296" s="94"/>
      <c r="P296" s="94"/>
      <c r="Q296" s="94"/>
      <c r="R296" s="94"/>
      <c r="S296" s="94"/>
      <c r="T296" s="94"/>
    </row>
    <row r="297" spans="1:20">
      <c r="A297" s="95"/>
      <c r="B297" s="233"/>
      <c r="C297" s="257"/>
      <c r="D297" s="96"/>
      <c r="E297" s="96"/>
      <c r="F297" s="96"/>
      <c r="G297" s="96"/>
      <c r="H297" s="96"/>
      <c r="I297" s="96"/>
      <c r="J297" s="96"/>
      <c r="K297" s="94"/>
      <c r="L297" s="94"/>
      <c r="M297" s="94"/>
      <c r="N297" s="94"/>
      <c r="O297" s="94"/>
      <c r="P297" s="94"/>
      <c r="Q297" s="94"/>
      <c r="R297" s="94"/>
      <c r="S297" s="94"/>
      <c r="T297" s="94"/>
    </row>
    <row r="298" spans="1:20">
      <c r="A298" s="95"/>
      <c r="B298" s="233"/>
      <c r="C298" s="257"/>
      <c r="D298" s="96"/>
      <c r="E298" s="96"/>
      <c r="F298" s="96"/>
      <c r="G298" s="96"/>
      <c r="H298" s="96"/>
      <c r="I298" s="96"/>
      <c r="J298" s="96"/>
      <c r="K298" s="94"/>
      <c r="L298" s="94"/>
      <c r="M298" s="94"/>
      <c r="N298" s="94"/>
      <c r="O298" s="94"/>
      <c r="P298" s="94"/>
      <c r="Q298" s="94"/>
      <c r="R298" s="94"/>
      <c r="S298" s="94"/>
      <c r="T298" s="94"/>
    </row>
    <row r="299" spans="1:20">
      <c r="A299" s="95"/>
      <c r="B299" s="233"/>
      <c r="C299" s="257"/>
      <c r="D299" s="96"/>
      <c r="E299" s="96"/>
      <c r="F299" s="96"/>
      <c r="G299" s="96"/>
      <c r="H299" s="96"/>
      <c r="I299" s="96"/>
      <c r="J299" s="96"/>
      <c r="K299" s="94"/>
      <c r="L299" s="94"/>
      <c r="M299" s="94"/>
      <c r="N299" s="94"/>
      <c r="O299" s="94"/>
      <c r="P299" s="94"/>
      <c r="Q299" s="94"/>
      <c r="R299" s="94"/>
      <c r="S299" s="94"/>
      <c r="T299" s="94"/>
    </row>
    <row r="300" spans="1:20">
      <c r="A300" s="95"/>
      <c r="B300" s="233"/>
      <c r="C300" s="257"/>
      <c r="D300" s="96"/>
      <c r="E300" s="96"/>
      <c r="F300" s="96"/>
      <c r="G300" s="96"/>
      <c r="H300" s="96"/>
      <c r="I300" s="96"/>
      <c r="J300" s="96"/>
      <c r="K300" s="94"/>
      <c r="L300" s="94"/>
      <c r="M300" s="94"/>
      <c r="N300" s="94"/>
      <c r="O300" s="94"/>
      <c r="P300" s="94"/>
      <c r="Q300" s="94"/>
      <c r="R300" s="94"/>
      <c r="S300" s="94"/>
      <c r="T300" s="94"/>
    </row>
    <row r="301" spans="1:20">
      <c r="A301" s="97" t="s">
        <v>330</v>
      </c>
      <c r="B301" s="238"/>
      <c r="C301" s="238"/>
      <c r="D301" s="115">
        <f t="shared" ref="D301:J301" si="70">SUM(D294:D300)</f>
        <v>120000</v>
      </c>
      <c r="E301" s="115">
        <f t="shared" si="70"/>
        <v>126000</v>
      </c>
      <c r="F301" s="115">
        <f t="shared" si="70"/>
        <v>132300</v>
      </c>
      <c r="G301" s="115">
        <f t="shared" si="70"/>
        <v>138915.00000000003</v>
      </c>
      <c r="H301" s="115">
        <f t="shared" si="70"/>
        <v>145860.75000000003</v>
      </c>
      <c r="I301" s="115">
        <f t="shared" si="70"/>
        <v>153153.78750000003</v>
      </c>
      <c r="J301" s="115">
        <f t="shared" si="70"/>
        <v>160811.47687500005</v>
      </c>
      <c r="K301" s="94"/>
      <c r="L301" s="94"/>
      <c r="M301" s="94"/>
      <c r="N301" s="204"/>
      <c r="O301" s="94"/>
      <c r="P301" s="94"/>
      <c r="Q301" s="94"/>
      <c r="R301" s="94"/>
      <c r="S301" s="94"/>
      <c r="T301" s="94"/>
    </row>
    <row r="302" spans="1:20">
      <c r="A302" s="97" t="s">
        <v>130</v>
      </c>
      <c r="B302" s="97"/>
      <c r="C302" s="97"/>
      <c r="D302" s="115">
        <f t="shared" ref="D302:J302" si="71">D292+D301</f>
        <v>20474582.531321492</v>
      </c>
      <c r="E302" s="115">
        <f t="shared" si="71"/>
        <v>27894822.649056748</v>
      </c>
      <c r="F302" s="115">
        <f t="shared" si="71"/>
        <v>35176321.774338104</v>
      </c>
      <c r="G302" s="115">
        <f t="shared" si="71"/>
        <v>43116233.755524963</v>
      </c>
      <c r="H302" s="115">
        <f t="shared" si="71"/>
        <v>51762196.130394667</v>
      </c>
      <c r="I302" s="115">
        <f t="shared" si="71"/>
        <v>61164964.158362523</v>
      </c>
      <c r="J302" s="115">
        <f t="shared" si="71"/>
        <v>71378603.498801202</v>
      </c>
      <c r="K302" s="94"/>
      <c r="L302" s="94"/>
      <c r="M302" s="94"/>
      <c r="N302" s="94"/>
      <c r="O302" s="94"/>
      <c r="P302" s="94"/>
      <c r="Q302" s="94"/>
      <c r="R302" s="94"/>
      <c r="S302" s="94"/>
      <c r="T302" s="94"/>
    </row>
    <row r="303" spans="1:20">
      <c r="A303" s="95"/>
      <c r="B303" s="95"/>
      <c r="C303" s="95"/>
      <c r="D303" s="110"/>
      <c r="E303" s="110"/>
      <c r="F303" s="110"/>
      <c r="G303" s="110"/>
      <c r="H303" s="110"/>
      <c r="I303" s="95"/>
      <c r="J303" s="95"/>
      <c r="K303" s="94"/>
      <c r="L303" s="94"/>
      <c r="M303" s="94"/>
      <c r="N303" s="94"/>
      <c r="O303" s="94"/>
      <c r="P303" s="94"/>
      <c r="Q303" s="94"/>
      <c r="R303" s="94"/>
      <c r="S303" s="94"/>
      <c r="T303" s="94"/>
    </row>
    <row r="304" spans="1:20">
      <c r="A304" s="97"/>
      <c r="B304" s="97"/>
      <c r="C304" s="97"/>
      <c r="D304" s="110"/>
      <c r="E304" s="110"/>
      <c r="F304" s="110"/>
      <c r="G304" s="110"/>
      <c r="H304" s="110"/>
      <c r="I304" s="95"/>
      <c r="J304" s="95"/>
      <c r="K304" s="94"/>
      <c r="L304" s="94"/>
      <c r="M304" s="94"/>
      <c r="N304" s="94"/>
      <c r="O304" s="94"/>
      <c r="P304" s="94"/>
      <c r="Q304" s="94"/>
      <c r="R304" s="94"/>
      <c r="S304" s="94"/>
      <c r="T304" s="94"/>
    </row>
    <row r="305" spans="1:20">
      <c r="A305" s="97" t="s">
        <v>319</v>
      </c>
      <c r="B305" s="97"/>
      <c r="C305" s="97"/>
      <c r="D305" s="115">
        <f t="shared" ref="D305:J305" si="72">D229-D302</f>
        <v>76575.175515506417</v>
      </c>
      <c r="E305" s="115">
        <f t="shared" si="72"/>
        <v>194959.92291597277</v>
      </c>
      <c r="F305" s="115">
        <f t="shared" si="72"/>
        <v>275414.64063934237</v>
      </c>
      <c r="G305" s="115">
        <f t="shared" si="72"/>
        <v>363427.43032777309</v>
      </c>
      <c r="H305" s="115">
        <f t="shared" si="72"/>
        <v>459552.96238342673</v>
      </c>
      <c r="I305" s="115">
        <f t="shared" si="72"/>
        <v>564382.47906884551</v>
      </c>
      <c r="J305" s="115">
        <f t="shared" si="72"/>
        <v>678546.06501682103</v>
      </c>
      <c r="K305" s="94"/>
      <c r="L305" s="94"/>
      <c r="M305" s="94"/>
      <c r="N305" s="94"/>
      <c r="O305" s="94"/>
      <c r="P305" s="94"/>
      <c r="Q305" s="94"/>
      <c r="R305" s="94"/>
      <c r="S305" s="94"/>
      <c r="T305" s="94"/>
    </row>
    <row r="306" spans="1:20">
      <c r="A306" s="94"/>
      <c r="B306" s="94"/>
      <c r="C306" s="94"/>
      <c r="D306" s="94"/>
      <c r="E306" s="94"/>
      <c r="F306" s="94"/>
      <c r="G306" s="94"/>
      <c r="H306" s="94"/>
      <c r="I306" s="94"/>
      <c r="J306" s="94"/>
    </row>
    <row r="307" spans="1:20">
      <c r="A307" s="94" t="s">
        <v>51</v>
      </c>
      <c r="B307" s="94"/>
      <c r="C307" s="94"/>
      <c r="D307" s="94"/>
      <c r="E307" s="94"/>
      <c r="F307" s="94"/>
      <c r="G307" s="94"/>
      <c r="H307" s="94"/>
      <c r="I307" s="94"/>
      <c r="J307" s="94"/>
    </row>
    <row r="308" spans="1:20">
      <c r="A308" s="418" t="s">
        <v>431</v>
      </c>
      <c r="B308" s="418"/>
      <c r="C308" s="418"/>
      <c r="D308" s="418"/>
      <c r="E308" s="418"/>
      <c r="F308" s="418"/>
      <c r="G308" s="418"/>
      <c r="H308" s="418"/>
      <c r="I308" s="418"/>
      <c r="J308" s="418"/>
    </row>
    <row r="310" spans="1:20">
      <c r="A310" t="s">
        <v>546</v>
      </c>
    </row>
    <row r="311" spans="1:20">
      <c r="A311">
        <v>1</v>
      </c>
      <c r="B311" t="s">
        <v>559</v>
      </c>
    </row>
    <row r="312" spans="1:20">
      <c r="A312">
        <v>2</v>
      </c>
      <c r="B312" t="s">
        <v>560</v>
      </c>
    </row>
    <row r="313" spans="1:20">
      <c r="A313">
        <v>3</v>
      </c>
      <c r="B313" s="94" t="s">
        <v>610</v>
      </c>
    </row>
  </sheetData>
  <mergeCells count="5">
    <mergeCell ref="A170:J170"/>
    <mergeCell ref="A2:H2"/>
    <mergeCell ref="A308:J308"/>
    <mergeCell ref="F4:H4"/>
    <mergeCell ref="A3:H3"/>
  </mergeCells>
  <pageMargins left="0.7" right="0.7" top="0.75" bottom="0.75" header="0.3" footer="0.3"/>
  <pageSetup paperSize="9" scale="68"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202"/>
  <sheetViews>
    <sheetView view="pageBreakPreview" topLeftCell="A76" zoomScale="80" zoomScaleSheetLayoutView="80" workbookViewId="0">
      <selection activeCell="D173" sqref="D173"/>
    </sheetView>
  </sheetViews>
  <sheetFormatPr defaultRowHeight="15"/>
  <cols>
    <col min="1" max="1" width="41.7109375" bestFit="1" customWidth="1"/>
    <col min="2" max="2" width="10.5703125" customWidth="1"/>
    <col min="3" max="3" width="10.5703125" bestFit="1" customWidth="1"/>
    <col min="4" max="4" width="15.140625" customWidth="1"/>
    <col min="5" max="8" width="17.28515625" customWidth="1"/>
    <col min="9" max="10" width="16.85546875" bestFit="1" customWidth="1"/>
  </cols>
  <sheetData>
    <row r="3" spans="1:8" ht="18.75">
      <c r="A3" s="417" t="s">
        <v>705</v>
      </c>
      <c r="B3" s="417"/>
      <c r="C3" s="417"/>
      <c r="D3" s="417"/>
      <c r="E3" s="417"/>
      <c r="F3" s="417"/>
      <c r="G3" s="417"/>
      <c r="H3" s="417"/>
    </row>
    <row r="4" spans="1:8" ht="18.75">
      <c r="A4" s="417" t="s">
        <v>596</v>
      </c>
      <c r="B4" s="417"/>
      <c r="C4" s="417"/>
      <c r="D4" s="417"/>
      <c r="E4" s="417"/>
      <c r="F4" s="417"/>
      <c r="G4" s="417"/>
      <c r="H4" s="417"/>
    </row>
    <row r="5" spans="1:8">
      <c r="A5" s="94" t="s">
        <v>163</v>
      </c>
      <c r="B5" s="250">
        <v>20</v>
      </c>
      <c r="C5" s="94" t="s">
        <v>478</v>
      </c>
      <c r="D5" s="94"/>
      <c r="E5" s="94"/>
      <c r="F5" s="94"/>
      <c r="G5" s="94"/>
      <c r="H5" s="94"/>
    </row>
    <row r="6" spans="1:8">
      <c r="A6" s="94" t="s">
        <v>164</v>
      </c>
      <c r="B6" s="283">
        <v>8</v>
      </c>
      <c r="C6" s="94"/>
      <c r="D6" s="94"/>
      <c r="E6" s="94"/>
      <c r="F6" s="94"/>
      <c r="G6" s="94"/>
      <c r="H6" s="94"/>
    </row>
    <row r="7" spans="1:8">
      <c r="A7" s="94"/>
      <c r="B7" s="283"/>
      <c r="C7" s="94"/>
      <c r="D7" s="94"/>
      <c r="E7" s="94"/>
      <c r="F7" s="94"/>
      <c r="G7" s="94"/>
      <c r="H7" s="94"/>
    </row>
    <row r="8" spans="1:8">
      <c r="A8" s="94"/>
      <c r="B8" s="283"/>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171</v>
      </c>
      <c r="H11" s="83" t="s">
        <v>170</v>
      </c>
    </row>
    <row r="12" spans="1:8">
      <c r="A12" s="95" t="s">
        <v>172</v>
      </c>
      <c r="B12" s="317">
        <f>B32/($B$5*$B$6)</f>
        <v>87.462390225000007</v>
      </c>
      <c r="C12" s="317">
        <f t="shared" ref="C12:H12" si="0">C32/($B$5*$B$6)</f>
        <v>109.32798778125</v>
      </c>
      <c r="D12" s="317">
        <f t="shared" si="0"/>
        <v>131.1935853375</v>
      </c>
      <c r="E12" s="317">
        <f t="shared" si="0"/>
        <v>153.05918289375001</v>
      </c>
      <c r="F12" s="317">
        <f t="shared" si="0"/>
        <v>174.92478044999999</v>
      </c>
      <c r="G12" s="317">
        <f t="shared" si="0"/>
        <v>196.79037800624999</v>
      </c>
      <c r="H12" s="317">
        <f t="shared" si="0"/>
        <v>218.65597556249995</v>
      </c>
    </row>
    <row r="13" spans="1:8">
      <c r="A13" s="95" t="str">
        <f>'10.Grain Production details'!A67</f>
        <v>Soybean</v>
      </c>
      <c r="B13" s="95">
        <f>'10.Grain Production details'!B67</f>
        <v>2513.2554</v>
      </c>
      <c r="C13" s="95">
        <f>'10.Grain Production details'!C67</f>
        <v>3141.56925</v>
      </c>
      <c r="D13" s="95">
        <f>'10.Grain Production details'!D67</f>
        <v>3769.8831</v>
      </c>
      <c r="E13" s="95">
        <f>'10.Grain Production details'!E67</f>
        <v>4398.1969499999996</v>
      </c>
      <c r="F13" s="95">
        <f>'10.Grain Production details'!F67</f>
        <v>5026.5108</v>
      </c>
      <c r="G13" s="95">
        <f>'10.Grain Production details'!G67</f>
        <v>5654.8246500000005</v>
      </c>
      <c r="H13" s="95">
        <f>'10.Grain Production details'!H67</f>
        <v>6283.1385</v>
      </c>
    </row>
    <row r="14" spans="1:8">
      <c r="A14" s="95" t="str">
        <f>'10.Grain Production details'!A68</f>
        <v>Red Gram/Tur</v>
      </c>
      <c r="B14" s="95">
        <f>'10.Grain Production details'!B68</f>
        <v>0</v>
      </c>
      <c r="C14" s="95">
        <f>'10.Grain Production details'!C68</f>
        <v>0</v>
      </c>
      <c r="D14" s="95">
        <f>'10.Grain Production details'!D68</f>
        <v>0</v>
      </c>
      <c r="E14" s="95">
        <f>'10.Grain Production details'!E68</f>
        <v>0</v>
      </c>
      <c r="F14" s="95">
        <f>'10.Grain Production details'!F68</f>
        <v>0</v>
      </c>
      <c r="G14" s="95">
        <f>'10.Grain Production details'!G68</f>
        <v>0</v>
      </c>
      <c r="H14" s="95">
        <f>'10.Grain Production details'!H68</f>
        <v>0</v>
      </c>
    </row>
    <row r="15" spans="1:8">
      <c r="A15" s="95" t="str">
        <f>'10.Grain Production details'!A69</f>
        <v>Paddy/Rice</v>
      </c>
      <c r="B15" s="95">
        <f>'10.Grain Production details'!B69</f>
        <v>0</v>
      </c>
      <c r="C15" s="95">
        <f>'10.Grain Production details'!C69</f>
        <v>0</v>
      </c>
      <c r="D15" s="95">
        <f>'10.Grain Production details'!D69</f>
        <v>0</v>
      </c>
      <c r="E15" s="95">
        <f>'10.Grain Production details'!E69</f>
        <v>0</v>
      </c>
      <c r="F15" s="95">
        <f>'10.Grain Production details'!F69</f>
        <v>0</v>
      </c>
      <c r="G15" s="95">
        <f>'10.Grain Production details'!G69</f>
        <v>0</v>
      </c>
      <c r="H15" s="95">
        <f>'10.Grain Production details'!H69</f>
        <v>0</v>
      </c>
    </row>
    <row r="16" spans="1:8">
      <c r="A16" s="95" t="str">
        <f>'10.Grain Production details'!A70</f>
        <v>Green Gram/ Moong</v>
      </c>
      <c r="B16" s="95">
        <f>'10.Grain Production details'!B70</f>
        <v>907.41747600000019</v>
      </c>
      <c r="C16" s="95">
        <f>'10.Grain Production details'!C70</f>
        <v>1134.2718450000002</v>
      </c>
      <c r="D16" s="95">
        <f>'10.Grain Production details'!D70</f>
        <v>1361.1262140000001</v>
      </c>
      <c r="E16" s="95">
        <f>'10.Grain Production details'!E70</f>
        <v>1587.9805830000003</v>
      </c>
      <c r="F16" s="95">
        <f>'10.Grain Production details'!F70</f>
        <v>1814.8349520000002</v>
      </c>
      <c r="G16" s="95">
        <f>'10.Grain Production details'!G70</f>
        <v>2041.6893210000003</v>
      </c>
      <c r="H16" s="95">
        <f>'10.Grain Production details'!H70</f>
        <v>2268.54369</v>
      </c>
    </row>
    <row r="17" spans="1:8">
      <c r="A17" s="95" t="str">
        <f>'10.Grain Production details'!A71</f>
        <v>Maize</v>
      </c>
      <c r="B17" s="95">
        <f>'10.Grain Production details'!B71</f>
        <v>7054.7520000000004</v>
      </c>
      <c r="C17" s="95">
        <f>'10.Grain Production details'!C71</f>
        <v>8818.44</v>
      </c>
      <c r="D17" s="95">
        <f>'10.Grain Production details'!D71</f>
        <v>10582.128000000001</v>
      </c>
      <c r="E17" s="95">
        <f>'10.Grain Production details'!E71</f>
        <v>12345.816000000001</v>
      </c>
      <c r="F17" s="95">
        <f>'10.Grain Production details'!F71</f>
        <v>14109.503999999999</v>
      </c>
      <c r="G17" s="95">
        <f>'10.Grain Production details'!G71</f>
        <v>15873.191999999999</v>
      </c>
      <c r="H17" s="95">
        <f>'10.Grain Production details'!H71</f>
        <v>17636.879999999997</v>
      </c>
    </row>
    <row r="18" spans="1:8">
      <c r="A18" s="95" t="str">
        <f>'10.Grain Production details'!A72</f>
        <v>Black Gram/Udid</v>
      </c>
      <c r="B18" s="95">
        <f>'10.Grain Production details'!B72</f>
        <v>555.56172000000004</v>
      </c>
      <c r="C18" s="95">
        <f>'10.Grain Production details'!C72</f>
        <v>694.45214999999996</v>
      </c>
      <c r="D18" s="95">
        <f>'10.Grain Production details'!D72</f>
        <v>833.34257999999988</v>
      </c>
      <c r="E18" s="95">
        <f>'10.Grain Production details'!E72</f>
        <v>972.23300999999992</v>
      </c>
      <c r="F18" s="95">
        <f>'10.Grain Production details'!F72</f>
        <v>1111.1234399999998</v>
      </c>
      <c r="G18" s="95">
        <f>'10.Grain Production details'!G72</f>
        <v>1250.0138699999998</v>
      </c>
      <c r="H18" s="95">
        <f>'10.Grain Production details'!H72</f>
        <v>1388.9042999999997</v>
      </c>
    </row>
    <row r="19" spans="1:8">
      <c r="A19" s="95" t="str">
        <f>'10.Grain Production details'!A73</f>
        <v>Bajra</v>
      </c>
      <c r="B19" s="95">
        <f>'10.Grain Production details'!B73</f>
        <v>0</v>
      </c>
      <c r="C19" s="95">
        <f>'10.Grain Production details'!C73</f>
        <v>0</v>
      </c>
      <c r="D19" s="95">
        <f>'10.Grain Production details'!D73</f>
        <v>0</v>
      </c>
      <c r="E19" s="95">
        <f>'10.Grain Production details'!E73</f>
        <v>0</v>
      </c>
      <c r="F19" s="95">
        <f>'10.Grain Production details'!F73</f>
        <v>0</v>
      </c>
      <c r="G19" s="95">
        <f>'10.Grain Production details'!G73</f>
        <v>0</v>
      </c>
      <c r="H19" s="95">
        <f>'10.Grain Production details'!H73</f>
        <v>0</v>
      </c>
    </row>
    <row r="20" spans="1:8">
      <c r="A20" s="95" t="str">
        <f>'10.Grain Production details'!A74</f>
        <v>Jawar</v>
      </c>
      <c r="B20" s="95">
        <f>'10.Grain Production details'!B74</f>
        <v>0</v>
      </c>
      <c r="C20" s="95">
        <f>'10.Grain Production details'!C74</f>
        <v>0</v>
      </c>
      <c r="D20" s="95">
        <f>'10.Grain Production details'!D74</f>
        <v>0</v>
      </c>
      <c r="E20" s="95">
        <f>'10.Grain Production details'!E74</f>
        <v>0</v>
      </c>
      <c r="F20" s="95">
        <f>'10.Grain Production details'!F74</f>
        <v>0</v>
      </c>
      <c r="G20" s="95">
        <f>'10.Grain Production details'!G74</f>
        <v>0</v>
      </c>
      <c r="H20" s="95">
        <f>'10.Grain Production details'!H74</f>
        <v>0</v>
      </c>
    </row>
    <row r="21" spans="1:8">
      <c r="A21" s="95" t="str">
        <f>'10.Grain Production details'!A75</f>
        <v>Sunflower</v>
      </c>
      <c r="B21" s="95">
        <f>'10.Grain Production details'!B75</f>
        <v>0</v>
      </c>
      <c r="C21" s="95">
        <f>'10.Grain Production details'!C75</f>
        <v>0</v>
      </c>
      <c r="D21" s="95">
        <f>'10.Grain Production details'!D75</f>
        <v>0</v>
      </c>
      <c r="E21" s="95">
        <f>'10.Grain Production details'!E75</f>
        <v>0</v>
      </c>
      <c r="F21" s="95">
        <f>'10.Grain Production details'!F75</f>
        <v>0</v>
      </c>
      <c r="G21" s="95">
        <f>'10.Grain Production details'!G75</f>
        <v>0</v>
      </c>
      <c r="H21" s="95">
        <f>'10.Grain Production details'!H75</f>
        <v>0</v>
      </c>
    </row>
    <row r="22" spans="1:8">
      <c r="A22" s="95" t="str">
        <f>'10.Grain Production details'!A76</f>
        <v>Wheat</v>
      </c>
      <c r="B22" s="95">
        <f>'10.Grain Production details'!B76</f>
        <v>714.2936400000001</v>
      </c>
      <c r="C22" s="95">
        <f>'10.Grain Production details'!C76</f>
        <v>892.86705000000006</v>
      </c>
      <c r="D22" s="95">
        <f>'10.Grain Production details'!D76</f>
        <v>1071.44046</v>
      </c>
      <c r="E22" s="95">
        <f>'10.Grain Production details'!E76</f>
        <v>1250.01387</v>
      </c>
      <c r="F22" s="95">
        <f>'10.Grain Production details'!F76</f>
        <v>1428.58728</v>
      </c>
      <c r="G22" s="95">
        <f>'10.Grain Production details'!G76</f>
        <v>1607.1606899999999</v>
      </c>
      <c r="H22" s="95">
        <f>'10.Grain Production details'!H76</f>
        <v>1785.7340999999999</v>
      </c>
    </row>
    <row r="23" spans="1:8">
      <c r="A23" s="95" t="str">
        <f>'10.Grain Production details'!A77</f>
        <v>Bengal Gram/Channa</v>
      </c>
      <c r="B23" s="95">
        <f>'10.Grain Production details'!B77</f>
        <v>1190.4894000000002</v>
      </c>
      <c r="C23" s="95">
        <f>'10.Grain Production details'!C77</f>
        <v>1488.11175</v>
      </c>
      <c r="D23" s="95">
        <f>'10.Grain Production details'!D77</f>
        <v>1785.7340999999999</v>
      </c>
      <c r="E23" s="95">
        <f>'10.Grain Production details'!E77</f>
        <v>2083.3564499999998</v>
      </c>
      <c r="F23" s="95">
        <f>'10.Grain Production details'!F77</f>
        <v>2380.9787999999999</v>
      </c>
      <c r="G23" s="95">
        <f>'10.Grain Production details'!G77</f>
        <v>2678.60115</v>
      </c>
      <c r="H23" s="95">
        <f>'10.Grain Production details'!H77</f>
        <v>2976.2234999999996</v>
      </c>
    </row>
    <row r="24" spans="1:8">
      <c r="A24" s="95" t="str">
        <f>'10.Grain Production details'!A78</f>
        <v>Jawar</v>
      </c>
      <c r="B24" s="95">
        <f>'10.Grain Production details'!B78</f>
        <v>0</v>
      </c>
      <c r="C24" s="95">
        <f>'10.Grain Production details'!C78</f>
        <v>0</v>
      </c>
      <c r="D24" s="95">
        <f>'10.Grain Production details'!D78</f>
        <v>0</v>
      </c>
      <c r="E24" s="95">
        <f>'10.Grain Production details'!E78</f>
        <v>0</v>
      </c>
      <c r="F24" s="95">
        <f>'10.Grain Production details'!F78</f>
        <v>0</v>
      </c>
      <c r="G24" s="95">
        <f>'10.Grain Production details'!G78</f>
        <v>0</v>
      </c>
      <c r="H24" s="95">
        <f>'10.Grain Production details'!H78</f>
        <v>0</v>
      </c>
    </row>
    <row r="25" spans="1:8">
      <c r="A25" s="95" t="str">
        <f>'10.Grain Production details'!A79</f>
        <v>Maize</v>
      </c>
      <c r="B25" s="95">
        <f>'10.Grain Production details'!B79</f>
        <v>1058.2128</v>
      </c>
      <c r="C25" s="95">
        <f>'10.Grain Production details'!C79</f>
        <v>1322.7659999999998</v>
      </c>
      <c r="D25" s="95">
        <f>'10.Grain Production details'!D79</f>
        <v>1587.3191999999997</v>
      </c>
      <c r="E25" s="95">
        <f>'10.Grain Production details'!E79</f>
        <v>1851.8723999999997</v>
      </c>
      <c r="F25" s="95">
        <f>'10.Grain Production details'!F79</f>
        <v>2116.4255999999996</v>
      </c>
      <c r="G25" s="95">
        <f>'10.Grain Production details'!G79</f>
        <v>2380.9787999999994</v>
      </c>
      <c r="H25" s="95">
        <f>'10.Grain Production details'!H79</f>
        <v>2645.5319999999992</v>
      </c>
    </row>
    <row r="26" spans="1:8">
      <c r="A26" s="95" t="str">
        <f>'10.Grain Production details'!A80</f>
        <v>Safflower</v>
      </c>
      <c r="B26" s="95">
        <f>'10.Grain Production details'!B80</f>
        <v>0</v>
      </c>
      <c r="C26" s="95">
        <f>'10.Grain Production details'!C80</f>
        <v>0</v>
      </c>
      <c r="D26" s="95">
        <f>'10.Grain Production details'!D80</f>
        <v>0</v>
      </c>
      <c r="E26" s="95">
        <f>'10.Grain Production details'!E80</f>
        <v>0</v>
      </c>
      <c r="F26" s="95">
        <f>'10.Grain Production details'!F80</f>
        <v>0</v>
      </c>
      <c r="G26" s="95">
        <f>'10.Grain Production details'!G80</f>
        <v>0</v>
      </c>
      <c r="H26" s="95">
        <f>'10.Grain Production details'!H80</f>
        <v>0</v>
      </c>
    </row>
    <row r="27" spans="1:8">
      <c r="A27" s="95">
        <f>'10.Grain Production details'!A81</f>
        <v>0</v>
      </c>
      <c r="B27" s="95">
        <f>'10.Grain Production details'!B81</f>
        <v>0</v>
      </c>
      <c r="C27" s="95">
        <f>'10.Grain Production details'!C81</f>
        <v>0</v>
      </c>
      <c r="D27" s="95">
        <f>'10.Grain Production details'!D81</f>
        <v>0</v>
      </c>
      <c r="E27" s="95">
        <f>'10.Grain Production details'!E81</f>
        <v>0</v>
      </c>
      <c r="F27" s="95">
        <f>'10.Grain Production details'!F81</f>
        <v>0</v>
      </c>
      <c r="G27" s="95">
        <f>'10.Grain Production details'!G81</f>
        <v>0</v>
      </c>
      <c r="H27" s="95">
        <f>'10.Grain Production details'!H81</f>
        <v>0</v>
      </c>
    </row>
    <row r="28" spans="1:8">
      <c r="A28" s="95">
        <f>'10.Grain Production details'!A82</f>
        <v>0</v>
      </c>
      <c r="B28" s="95">
        <f>'10.Grain Production details'!B82</f>
        <v>0</v>
      </c>
      <c r="C28" s="95">
        <f>'10.Grain Production details'!C82</f>
        <v>0</v>
      </c>
      <c r="D28" s="95">
        <f>'10.Grain Production details'!D82</f>
        <v>0</v>
      </c>
      <c r="E28" s="95">
        <f>'10.Grain Production details'!E82</f>
        <v>0</v>
      </c>
      <c r="F28" s="95">
        <f>'10.Grain Production details'!F82</f>
        <v>0</v>
      </c>
      <c r="G28" s="95">
        <f>'10.Grain Production details'!G82</f>
        <v>0</v>
      </c>
      <c r="H28" s="95">
        <f>'10.Grain Production details'!H82</f>
        <v>0</v>
      </c>
    </row>
    <row r="29" spans="1:8">
      <c r="A29" s="95">
        <f>'10.Grain Production details'!A83</f>
        <v>0</v>
      </c>
      <c r="B29" s="95">
        <f>'10.Grain Production details'!B83</f>
        <v>0</v>
      </c>
      <c r="C29" s="95">
        <f>'10.Grain Production details'!C83</f>
        <v>0</v>
      </c>
      <c r="D29" s="95">
        <f>'10.Grain Production details'!D83</f>
        <v>0</v>
      </c>
      <c r="E29" s="95">
        <f>'10.Grain Production details'!E83</f>
        <v>0</v>
      </c>
      <c r="F29" s="95">
        <f>'10.Grain Production details'!F83</f>
        <v>0</v>
      </c>
      <c r="G29" s="95">
        <f>'10.Grain Production details'!G83</f>
        <v>0</v>
      </c>
      <c r="H29" s="95">
        <f>'10.Grain Production details'!H83</f>
        <v>0</v>
      </c>
    </row>
    <row r="30" spans="1:8">
      <c r="A30" s="95" t="str">
        <f>'10.Grain Production details'!A84</f>
        <v>Groundnut</v>
      </c>
      <c r="B30" s="95">
        <f>'10.Grain Production details'!B84</f>
        <v>0</v>
      </c>
      <c r="C30" s="95">
        <f>'10.Grain Production details'!C84</f>
        <v>0</v>
      </c>
      <c r="D30" s="95">
        <f>'10.Grain Production details'!D84</f>
        <v>0</v>
      </c>
      <c r="E30" s="95">
        <f>'10.Grain Production details'!E84</f>
        <v>0</v>
      </c>
      <c r="F30" s="95">
        <f>'10.Grain Production details'!F84</f>
        <v>0</v>
      </c>
      <c r="G30" s="95">
        <f>'10.Grain Production details'!G84</f>
        <v>0</v>
      </c>
      <c r="H30" s="95">
        <f>'10.Grain Production details'!H84</f>
        <v>0</v>
      </c>
    </row>
    <row r="31" spans="1:8">
      <c r="A31" s="95">
        <f>'10.Grain Production details'!A85</f>
        <v>0</v>
      </c>
      <c r="B31" s="95">
        <f>'10.Grain Production details'!B85</f>
        <v>0</v>
      </c>
      <c r="C31" s="95">
        <f>'10.Grain Production details'!C85</f>
        <v>0</v>
      </c>
      <c r="D31" s="95">
        <f>'10.Grain Production details'!D85</f>
        <v>0</v>
      </c>
      <c r="E31" s="95">
        <f>'10.Grain Production details'!E85</f>
        <v>0</v>
      </c>
      <c r="F31" s="95">
        <f>'10.Grain Production details'!F85</f>
        <v>0</v>
      </c>
      <c r="G31" s="95">
        <f>'10.Grain Production details'!G85</f>
        <v>0</v>
      </c>
      <c r="H31" s="95">
        <f>'10.Grain Production details'!H85</f>
        <v>0</v>
      </c>
    </row>
    <row r="32" spans="1:8">
      <c r="A32" s="95" t="s">
        <v>469</v>
      </c>
      <c r="B32" s="95">
        <f>SUM(B13:B31)</f>
        <v>13993.982436</v>
      </c>
      <c r="C32" s="95">
        <f t="shared" ref="C32:H32" si="1">SUM(C13:C31)</f>
        <v>17492.478045</v>
      </c>
      <c r="D32" s="95">
        <f t="shared" si="1"/>
        <v>20990.973654000001</v>
      </c>
      <c r="E32" s="95">
        <f t="shared" si="1"/>
        <v>24489.469262999999</v>
      </c>
      <c r="F32" s="95">
        <f t="shared" si="1"/>
        <v>27987.964871999997</v>
      </c>
      <c r="G32" s="95">
        <f t="shared" si="1"/>
        <v>31486.460480999998</v>
      </c>
      <c r="H32" s="95">
        <f t="shared" si="1"/>
        <v>34984.956089999992</v>
      </c>
    </row>
    <row r="33" spans="1:8">
      <c r="A33" s="327" t="s">
        <v>167</v>
      </c>
      <c r="B33" s="282">
        <v>0.3</v>
      </c>
      <c r="C33" s="282">
        <f>B33</f>
        <v>0.3</v>
      </c>
      <c r="D33" s="282">
        <f t="shared" ref="D33:H33" si="2">C33</f>
        <v>0.3</v>
      </c>
      <c r="E33" s="282">
        <f t="shared" si="2"/>
        <v>0.3</v>
      </c>
      <c r="F33" s="282">
        <f t="shared" si="2"/>
        <v>0.3</v>
      </c>
      <c r="G33" s="282">
        <f t="shared" si="2"/>
        <v>0.3</v>
      </c>
      <c r="H33" s="282">
        <f t="shared" si="2"/>
        <v>0.3</v>
      </c>
    </row>
    <row r="34" spans="1:8">
      <c r="A34" s="99" t="s">
        <v>479</v>
      </c>
      <c r="B34" s="328">
        <f>1-B33</f>
        <v>0.7</v>
      </c>
      <c r="C34" s="328">
        <f t="shared" ref="C34:H34" si="3">1-C33</f>
        <v>0.7</v>
      </c>
      <c r="D34" s="328">
        <f t="shared" si="3"/>
        <v>0.7</v>
      </c>
      <c r="E34" s="328">
        <f t="shared" si="3"/>
        <v>0.7</v>
      </c>
      <c r="F34" s="328">
        <f t="shared" si="3"/>
        <v>0.7</v>
      </c>
      <c r="G34" s="328">
        <f t="shared" si="3"/>
        <v>0.7</v>
      </c>
      <c r="H34" s="328">
        <f t="shared" si="3"/>
        <v>0.7</v>
      </c>
    </row>
    <row r="35" spans="1:8">
      <c r="A35" s="97" t="s">
        <v>167</v>
      </c>
      <c r="B35" s="261">
        <f>B32*B33</f>
        <v>4198.1947307999999</v>
      </c>
      <c r="C35" s="261">
        <f t="shared" ref="C35:H35" si="4">C32*C33</f>
        <v>5247.7434134999994</v>
      </c>
      <c r="D35" s="261">
        <f t="shared" si="4"/>
        <v>6297.2920961999998</v>
      </c>
      <c r="E35" s="261">
        <f t="shared" si="4"/>
        <v>7346.8407788999993</v>
      </c>
      <c r="F35" s="261">
        <f t="shared" si="4"/>
        <v>8396.389461599998</v>
      </c>
      <c r="G35" s="261">
        <f t="shared" si="4"/>
        <v>9445.9381442999984</v>
      </c>
      <c r="H35" s="261">
        <f t="shared" si="4"/>
        <v>10495.486826999997</v>
      </c>
    </row>
    <row r="36" spans="1:8">
      <c r="A36" s="97" t="s">
        <v>168</v>
      </c>
      <c r="B36" s="115"/>
      <c r="C36" s="115"/>
      <c r="D36" s="115"/>
      <c r="E36" s="115"/>
      <c r="F36" s="115"/>
      <c r="G36" s="115"/>
      <c r="H36" s="115"/>
    </row>
    <row r="37" spans="1:8">
      <c r="A37" s="95" t="str">
        <f t="shared" ref="A37:A55" si="5">A13</f>
        <v>Soybean</v>
      </c>
      <c r="B37" s="96">
        <f t="shared" ref="B37:B55" si="6">B13*$B$34</f>
        <v>1759.2787799999999</v>
      </c>
      <c r="C37" s="96">
        <f t="shared" ref="C37:H37" si="7">C13*$B$34</f>
        <v>2199.0984749999998</v>
      </c>
      <c r="D37" s="96">
        <f t="shared" si="7"/>
        <v>2638.9181699999999</v>
      </c>
      <c r="E37" s="96">
        <f t="shared" si="7"/>
        <v>3078.7378649999996</v>
      </c>
      <c r="F37" s="96">
        <f t="shared" si="7"/>
        <v>3518.5575599999997</v>
      </c>
      <c r="G37" s="96">
        <f t="shared" si="7"/>
        <v>3958.3772549999999</v>
      </c>
      <c r="H37" s="96">
        <f t="shared" si="7"/>
        <v>4398.1969499999996</v>
      </c>
    </row>
    <row r="38" spans="1:8">
      <c r="A38" s="95" t="str">
        <f t="shared" si="5"/>
        <v>Red Gram/Tur</v>
      </c>
      <c r="B38" s="96">
        <f t="shared" si="6"/>
        <v>0</v>
      </c>
      <c r="C38" s="96">
        <f t="shared" ref="C38:C55" si="8">C14*$C$34</f>
        <v>0</v>
      </c>
      <c r="D38" s="96">
        <f t="shared" ref="D38:D55" si="9">D14*$D$34</f>
        <v>0</v>
      </c>
      <c r="E38" s="96">
        <f t="shared" ref="E38:E55" si="10">E14*$E$34</f>
        <v>0</v>
      </c>
      <c r="F38" s="96">
        <f t="shared" ref="F38:F55" si="11">F14*$F$34</f>
        <v>0</v>
      </c>
      <c r="G38" s="96">
        <f t="shared" ref="G38:G55" si="12">G14*$G$34</f>
        <v>0</v>
      </c>
      <c r="H38" s="96">
        <f t="shared" ref="H38:H55" si="13">H14*$H$34</f>
        <v>0</v>
      </c>
    </row>
    <row r="39" spans="1:8">
      <c r="A39" s="95" t="str">
        <f t="shared" si="5"/>
        <v>Paddy/Rice</v>
      </c>
      <c r="B39" s="96">
        <f t="shared" si="6"/>
        <v>0</v>
      </c>
      <c r="C39" s="96">
        <f t="shared" si="8"/>
        <v>0</v>
      </c>
      <c r="D39" s="96">
        <f t="shared" si="9"/>
        <v>0</v>
      </c>
      <c r="E39" s="96">
        <f t="shared" si="10"/>
        <v>0</v>
      </c>
      <c r="F39" s="96">
        <f t="shared" si="11"/>
        <v>0</v>
      </c>
      <c r="G39" s="96">
        <f t="shared" si="12"/>
        <v>0</v>
      </c>
      <c r="H39" s="96">
        <f t="shared" si="13"/>
        <v>0</v>
      </c>
    </row>
    <row r="40" spans="1:8">
      <c r="A40" s="95" t="str">
        <f t="shared" si="5"/>
        <v>Green Gram/ Moong</v>
      </c>
      <c r="B40" s="96">
        <f t="shared" si="6"/>
        <v>635.19223320000015</v>
      </c>
      <c r="C40" s="96">
        <f t="shared" si="8"/>
        <v>793.99029150000013</v>
      </c>
      <c r="D40" s="96">
        <f t="shared" si="9"/>
        <v>952.78834979999999</v>
      </c>
      <c r="E40" s="96">
        <f t="shared" si="10"/>
        <v>1111.5864081000002</v>
      </c>
      <c r="F40" s="96">
        <f t="shared" si="11"/>
        <v>1270.3844664000001</v>
      </c>
      <c r="G40" s="96">
        <f t="shared" si="12"/>
        <v>1429.1825247000002</v>
      </c>
      <c r="H40" s="96">
        <f t="shared" si="13"/>
        <v>1587.9805829999998</v>
      </c>
    </row>
    <row r="41" spans="1:8">
      <c r="A41" s="95" t="str">
        <f t="shared" si="5"/>
        <v>Maize</v>
      </c>
      <c r="B41" s="96">
        <f t="shared" si="6"/>
        <v>4938.3263999999999</v>
      </c>
      <c r="C41" s="96">
        <f t="shared" si="8"/>
        <v>6172.9080000000004</v>
      </c>
      <c r="D41" s="96">
        <f t="shared" si="9"/>
        <v>7407.4895999999999</v>
      </c>
      <c r="E41" s="96">
        <f t="shared" si="10"/>
        <v>8642.0712000000003</v>
      </c>
      <c r="F41" s="96">
        <f t="shared" si="11"/>
        <v>9876.652799999998</v>
      </c>
      <c r="G41" s="96">
        <f t="shared" si="12"/>
        <v>11111.234399999999</v>
      </c>
      <c r="H41" s="96">
        <f t="shared" si="13"/>
        <v>12345.815999999997</v>
      </c>
    </row>
    <row r="42" spans="1:8">
      <c r="A42" s="95" t="str">
        <f t="shared" si="5"/>
        <v>Black Gram/Udid</v>
      </c>
      <c r="B42" s="96">
        <f t="shared" si="6"/>
        <v>388.89320400000003</v>
      </c>
      <c r="C42" s="96">
        <f t="shared" si="8"/>
        <v>486.11650499999996</v>
      </c>
      <c r="D42" s="96">
        <f t="shared" si="9"/>
        <v>583.33980599999984</v>
      </c>
      <c r="E42" s="96">
        <f t="shared" si="10"/>
        <v>680.56310699999995</v>
      </c>
      <c r="F42" s="96">
        <f t="shared" si="11"/>
        <v>777.78640799999982</v>
      </c>
      <c r="G42" s="96">
        <f t="shared" si="12"/>
        <v>875.00970899999982</v>
      </c>
      <c r="H42" s="96">
        <f t="shared" si="13"/>
        <v>972.23300999999969</v>
      </c>
    </row>
    <row r="43" spans="1:8">
      <c r="A43" s="95" t="str">
        <f t="shared" si="5"/>
        <v>Bajra</v>
      </c>
      <c r="B43" s="96">
        <f t="shared" si="6"/>
        <v>0</v>
      </c>
      <c r="C43" s="96">
        <f t="shared" si="8"/>
        <v>0</v>
      </c>
      <c r="D43" s="96">
        <f t="shared" si="9"/>
        <v>0</v>
      </c>
      <c r="E43" s="96">
        <f t="shared" si="10"/>
        <v>0</v>
      </c>
      <c r="F43" s="96">
        <f t="shared" si="11"/>
        <v>0</v>
      </c>
      <c r="G43" s="96">
        <f t="shared" si="12"/>
        <v>0</v>
      </c>
      <c r="H43" s="96">
        <f t="shared" si="13"/>
        <v>0</v>
      </c>
    </row>
    <row r="44" spans="1:8">
      <c r="A44" s="95" t="str">
        <f t="shared" si="5"/>
        <v>Jawar</v>
      </c>
      <c r="B44" s="96">
        <f t="shared" si="6"/>
        <v>0</v>
      </c>
      <c r="C44" s="96">
        <f t="shared" si="8"/>
        <v>0</v>
      </c>
      <c r="D44" s="96">
        <f t="shared" si="9"/>
        <v>0</v>
      </c>
      <c r="E44" s="96">
        <f t="shared" si="10"/>
        <v>0</v>
      </c>
      <c r="F44" s="96">
        <f t="shared" si="11"/>
        <v>0</v>
      </c>
      <c r="G44" s="96">
        <f t="shared" si="12"/>
        <v>0</v>
      </c>
      <c r="H44" s="96">
        <f t="shared" si="13"/>
        <v>0</v>
      </c>
    </row>
    <row r="45" spans="1:8">
      <c r="A45" s="95" t="str">
        <f t="shared" si="5"/>
        <v>Sunflower</v>
      </c>
      <c r="B45" s="96">
        <f t="shared" si="6"/>
        <v>0</v>
      </c>
      <c r="C45" s="96">
        <f t="shared" si="8"/>
        <v>0</v>
      </c>
      <c r="D45" s="96">
        <f t="shared" si="9"/>
        <v>0</v>
      </c>
      <c r="E45" s="96">
        <f t="shared" si="10"/>
        <v>0</v>
      </c>
      <c r="F45" s="96">
        <f t="shared" si="11"/>
        <v>0</v>
      </c>
      <c r="G45" s="96">
        <f t="shared" si="12"/>
        <v>0</v>
      </c>
      <c r="H45" s="96">
        <f t="shared" si="13"/>
        <v>0</v>
      </c>
    </row>
    <row r="46" spans="1:8">
      <c r="A46" s="95" t="str">
        <f t="shared" si="5"/>
        <v>Wheat</v>
      </c>
      <c r="B46" s="96">
        <f t="shared" si="6"/>
        <v>500.00554800000003</v>
      </c>
      <c r="C46" s="96">
        <f t="shared" si="8"/>
        <v>625.006935</v>
      </c>
      <c r="D46" s="96">
        <f t="shared" si="9"/>
        <v>750.00832200000002</v>
      </c>
      <c r="E46" s="96">
        <f t="shared" si="10"/>
        <v>875.00970899999993</v>
      </c>
      <c r="F46" s="96">
        <f t="shared" si="11"/>
        <v>1000.011096</v>
      </c>
      <c r="G46" s="96">
        <f t="shared" si="12"/>
        <v>1125.012483</v>
      </c>
      <c r="H46" s="96">
        <f t="shared" si="13"/>
        <v>1250.0138699999998</v>
      </c>
    </row>
    <row r="47" spans="1:8">
      <c r="A47" s="95" t="str">
        <f t="shared" si="5"/>
        <v>Bengal Gram/Channa</v>
      </c>
      <c r="B47" s="96">
        <f t="shared" si="6"/>
        <v>833.34258000000011</v>
      </c>
      <c r="C47" s="96">
        <f t="shared" si="8"/>
        <v>1041.6782249999999</v>
      </c>
      <c r="D47" s="96">
        <f t="shared" si="9"/>
        <v>1250.0138699999998</v>
      </c>
      <c r="E47" s="96">
        <f t="shared" si="10"/>
        <v>1458.3495149999997</v>
      </c>
      <c r="F47" s="96">
        <f t="shared" si="11"/>
        <v>1666.6851599999998</v>
      </c>
      <c r="G47" s="96">
        <f t="shared" si="12"/>
        <v>1875.0208049999999</v>
      </c>
      <c r="H47" s="96">
        <f t="shared" si="13"/>
        <v>2083.3564499999998</v>
      </c>
    </row>
    <row r="48" spans="1:8">
      <c r="A48" s="95" t="str">
        <f t="shared" si="5"/>
        <v>Jawar</v>
      </c>
      <c r="B48" s="96">
        <f t="shared" si="6"/>
        <v>0</v>
      </c>
      <c r="C48" s="96">
        <f t="shared" si="8"/>
        <v>0</v>
      </c>
      <c r="D48" s="96">
        <f t="shared" si="9"/>
        <v>0</v>
      </c>
      <c r="E48" s="96">
        <f t="shared" si="10"/>
        <v>0</v>
      </c>
      <c r="F48" s="96">
        <f t="shared" si="11"/>
        <v>0</v>
      </c>
      <c r="G48" s="96">
        <f t="shared" si="12"/>
        <v>0</v>
      </c>
      <c r="H48" s="96">
        <f t="shared" si="13"/>
        <v>0</v>
      </c>
    </row>
    <row r="49" spans="1:8">
      <c r="A49" s="95" t="str">
        <f t="shared" si="5"/>
        <v>Maize</v>
      </c>
      <c r="B49" s="96">
        <f t="shared" si="6"/>
        <v>740.74896000000001</v>
      </c>
      <c r="C49" s="96">
        <f t="shared" si="8"/>
        <v>925.93619999999987</v>
      </c>
      <c r="D49" s="96">
        <f t="shared" si="9"/>
        <v>1111.1234399999996</v>
      </c>
      <c r="E49" s="96">
        <f t="shared" si="10"/>
        <v>1296.3106799999998</v>
      </c>
      <c r="F49" s="96">
        <f t="shared" si="11"/>
        <v>1481.4979199999996</v>
      </c>
      <c r="G49" s="96">
        <f t="shared" si="12"/>
        <v>1666.6851599999995</v>
      </c>
      <c r="H49" s="96">
        <f t="shared" si="13"/>
        <v>1851.8723999999993</v>
      </c>
    </row>
    <row r="50" spans="1:8">
      <c r="A50" s="95" t="str">
        <f t="shared" si="5"/>
        <v>Safflower</v>
      </c>
      <c r="B50" s="96">
        <f t="shared" si="6"/>
        <v>0</v>
      </c>
      <c r="C50" s="96">
        <f t="shared" si="8"/>
        <v>0</v>
      </c>
      <c r="D50" s="96">
        <f t="shared" si="9"/>
        <v>0</v>
      </c>
      <c r="E50" s="96">
        <f t="shared" si="10"/>
        <v>0</v>
      </c>
      <c r="F50" s="96">
        <f t="shared" si="11"/>
        <v>0</v>
      </c>
      <c r="G50" s="96">
        <f t="shared" si="12"/>
        <v>0</v>
      </c>
      <c r="H50" s="96">
        <f t="shared" si="13"/>
        <v>0</v>
      </c>
    </row>
    <row r="51" spans="1:8">
      <c r="A51" s="95">
        <f t="shared" si="5"/>
        <v>0</v>
      </c>
      <c r="B51" s="96">
        <f t="shared" si="6"/>
        <v>0</v>
      </c>
      <c r="C51" s="96">
        <f t="shared" si="8"/>
        <v>0</v>
      </c>
      <c r="D51" s="96">
        <f t="shared" si="9"/>
        <v>0</v>
      </c>
      <c r="E51" s="96">
        <f t="shared" si="10"/>
        <v>0</v>
      </c>
      <c r="F51" s="96">
        <f t="shared" si="11"/>
        <v>0</v>
      </c>
      <c r="G51" s="96">
        <f t="shared" si="12"/>
        <v>0</v>
      </c>
      <c r="H51" s="96">
        <f t="shared" si="13"/>
        <v>0</v>
      </c>
    </row>
    <row r="52" spans="1:8">
      <c r="A52" s="95">
        <f t="shared" si="5"/>
        <v>0</v>
      </c>
      <c r="B52" s="96">
        <f t="shared" si="6"/>
        <v>0</v>
      </c>
      <c r="C52" s="96">
        <f t="shared" si="8"/>
        <v>0</v>
      </c>
      <c r="D52" s="96">
        <f t="shared" si="9"/>
        <v>0</v>
      </c>
      <c r="E52" s="96">
        <f t="shared" si="10"/>
        <v>0</v>
      </c>
      <c r="F52" s="96">
        <f t="shared" si="11"/>
        <v>0</v>
      </c>
      <c r="G52" s="96">
        <f t="shared" si="12"/>
        <v>0</v>
      </c>
      <c r="H52" s="96">
        <f t="shared" si="13"/>
        <v>0</v>
      </c>
    </row>
    <row r="53" spans="1:8">
      <c r="A53" s="95">
        <f t="shared" si="5"/>
        <v>0</v>
      </c>
      <c r="B53" s="96">
        <f t="shared" si="6"/>
        <v>0</v>
      </c>
      <c r="C53" s="96">
        <f t="shared" si="8"/>
        <v>0</v>
      </c>
      <c r="D53" s="96">
        <f t="shared" si="9"/>
        <v>0</v>
      </c>
      <c r="E53" s="96">
        <f t="shared" si="10"/>
        <v>0</v>
      </c>
      <c r="F53" s="96">
        <f t="shared" si="11"/>
        <v>0</v>
      </c>
      <c r="G53" s="96">
        <f t="shared" si="12"/>
        <v>0</v>
      </c>
      <c r="H53" s="96">
        <f t="shared" si="13"/>
        <v>0</v>
      </c>
    </row>
    <row r="54" spans="1:8">
      <c r="A54" s="95" t="str">
        <f t="shared" si="5"/>
        <v>Groundnut</v>
      </c>
      <c r="B54" s="96">
        <f t="shared" si="6"/>
        <v>0</v>
      </c>
      <c r="C54" s="96">
        <f t="shared" si="8"/>
        <v>0</v>
      </c>
      <c r="D54" s="96">
        <f t="shared" si="9"/>
        <v>0</v>
      </c>
      <c r="E54" s="96">
        <f t="shared" si="10"/>
        <v>0</v>
      </c>
      <c r="F54" s="96">
        <f t="shared" si="11"/>
        <v>0</v>
      </c>
      <c r="G54" s="96">
        <f t="shared" si="12"/>
        <v>0</v>
      </c>
      <c r="H54" s="96">
        <f t="shared" si="13"/>
        <v>0</v>
      </c>
    </row>
    <row r="55" spans="1:8">
      <c r="A55" s="95">
        <f t="shared" si="5"/>
        <v>0</v>
      </c>
      <c r="B55" s="96">
        <f t="shared" si="6"/>
        <v>0</v>
      </c>
      <c r="C55" s="96">
        <f t="shared" si="8"/>
        <v>0</v>
      </c>
      <c r="D55" s="96">
        <f t="shared" si="9"/>
        <v>0</v>
      </c>
      <c r="E55" s="96">
        <f t="shared" si="10"/>
        <v>0</v>
      </c>
      <c r="F55" s="96">
        <f t="shared" si="11"/>
        <v>0</v>
      </c>
      <c r="G55" s="96">
        <f t="shared" si="12"/>
        <v>0</v>
      </c>
      <c r="H55" s="96">
        <f t="shared" si="13"/>
        <v>0</v>
      </c>
    </row>
    <row r="56" spans="1:8">
      <c r="A56" s="95"/>
      <c r="B56" s="95"/>
      <c r="C56" s="95"/>
      <c r="D56" s="95"/>
      <c r="E56" s="95"/>
      <c r="F56" s="95"/>
      <c r="G56" s="95"/>
      <c r="H56" s="95"/>
    </row>
    <row r="57" spans="1:8">
      <c r="A57" s="97" t="s">
        <v>289</v>
      </c>
      <c r="B57" s="95"/>
      <c r="C57" s="95"/>
      <c r="D57" s="95"/>
      <c r="E57" s="95"/>
      <c r="F57" s="95"/>
      <c r="G57" s="95"/>
      <c r="H57" s="95"/>
    </row>
    <row r="58" spans="1:8">
      <c r="A58" s="97" t="s">
        <v>169</v>
      </c>
      <c r="B58" s="95"/>
      <c r="C58" s="95"/>
      <c r="D58" s="95"/>
      <c r="E58" s="95"/>
      <c r="F58" s="95"/>
      <c r="G58" s="95"/>
      <c r="H58" s="95"/>
    </row>
    <row r="59" spans="1:8">
      <c r="A59" s="95" t="s">
        <v>714</v>
      </c>
      <c r="B59" s="394">
        <f>B37*100%</f>
        <v>1759.2787799999999</v>
      </c>
      <c r="C59" s="394">
        <f t="shared" ref="C59:H59" si="14">C37*100%</f>
        <v>2199.0984749999998</v>
      </c>
      <c r="D59" s="394">
        <f t="shared" si="14"/>
        <v>2638.9181699999999</v>
      </c>
      <c r="E59" s="394">
        <f t="shared" si="14"/>
        <v>3078.7378649999996</v>
      </c>
      <c r="F59" s="394">
        <f t="shared" si="14"/>
        <v>3518.5575599999997</v>
      </c>
      <c r="G59" s="394">
        <f t="shared" si="14"/>
        <v>3958.3772549999999</v>
      </c>
      <c r="H59" s="394">
        <f t="shared" si="14"/>
        <v>4398.1969499999996</v>
      </c>
    </row>
    <row r="60" spans="1:8">
      <c r="A60" s="95"/>
      <c r="B60" s="95"/>
      <c r="C60" s="95"/>
      <c r="D60" s="95"/>
      <c r="E60" s="95"/>
      <c r="F60" s="95"/>
      <c r="G60" s="95"/>
      <c r="H60" s="95"/>
    </row>
    <row r="61" spans="1:8">
      <c r="A61" s="95"/>
      <c r="B61" s="95"/>
      <c r="C61" s="95"/>
      <c r="D61" s="95"/>
      <c r="E61" s="95"/>
      <c r="F61" s="95"/>
      <c r="G61" s="95"/>
      <c r="H61" s="95"/>
    </row>
    <row r="62" spans="1:8">
      <c r="A62" s="95"/>
      <c r="B62" s="95"/>
      <c r="C62" s="95"/>
      <c r="D62" s="95"/>
      <c r="E62" s="95"/>
      <c r="F62" s="95"/>
      <c r="G62" s="95"/>
      <c r="H62" s="95"/>
    </row>
    <row r="63" spans="1:8">
      <c r="A63" s="95" t="str">
        <f>A38</f>
        <v>Red Gram/Tur</v>
      </c>
      <c r="B63" s="191"/>
      <c r="C63" s="191"/>
      <c r="D63" s="191"/>
      <c r="E63" s="191"/>
      <c r="F63" s="191"/>
      <c r="G63" s="191"/>
      <c r="H63" s="191"/>
    </row>
    <row r="64" spans="1:8">
      <c r="A64" s="95" t="s">
        <v>470</v>
      </c>
      <c r="B64" s="191">
        <f>B38*80%</f>
        <v>0</v>
      </c>
      <c r="C64" s="191">
        <f t="shared" ref="C64:H64" si="15">C38*80%</f>
        <v>0</v>
      </c>
      <c r="D64" s="191">
        <f t="shared" si="15"/>
        <v>0</v>
      </c>
      <c r="E64" s="191">
        <f t="shared" si="15"/>
        <v>0</v>
      </c>
      <c r="F64" s="191">
        <f t="shared" si="15"/>
        <v>0</v>
      </c>
      <c r="G64" s="191">
        <f t="shared" si="15"/>
        <v>0</v>
      </c>
      <c r="H64" s="191">
        <f t="shared" si="15"/>
        <v>0</v>
      </c>
    </row>
    <row r="65" spans="1:8">
      <c r="A65" s="95" t="s">
        <v>142</v>
      </c>
      <c r="B65" s="191">
        <f>B38*20%</f>
        <v>0</v>
      </c>
      <c r="C65" s="191">
        <f t="shared" ref="C65:H65" si="16">C38*20%</f>
        <v>0</v>
      </c>
      <c r="D65" s="191">
        <f t="shared" si="16"/>
        <v>0</v>
      </c>
      <c r="E65" s="191">
        <f t="shared" si="16"/>
        <v>0</v>
      </c>
      <c r="F65" s="191">
        <f t="shared" si="16"/>
        <v>0</v>
      </c>
      <c r="G65" s="191">
        <f t="shared" si="16"/>
        <v>0</v>
      </c>
      <c r="H65" s="191">
        <f t="shared" si="16"/>
        <v>0</v>
      </c>
    </row>
    <row r="66" spans="1:8">
      <c r="A66" s="95" t="str">
        <f>A39</f>
        <v>Paddy/Rice</v>
      </c>
      <c r="B66" s="96"/>
      <c r="C66" s="96"/>
      <c r="D66" s="96"/>
      <c r="E66" s="96"/>
      <c r="F66" s="96"/>
      <c r="G66" s="96"/>
      <c r="H66" s="96"/>
    </row>
    <row r="67" spans="1:8">
      <c r="A67" s="95"/>
      <c r="B67" s="96"/>
      <c r="C67" s="96"/>
      <c r="D67" s="96"/>
      <c r="E67" s="96"/>
      <c r="F67" s="96"/>
      <c r="G67" s="96"/>
      <c r="H67" s="96"/>
    </row>
    <row r="68" spans="1:8">
      <c r="A68" s="95"/>
      <c r="B68" s="96"/>
      <c r="C68" s="96"/>
      <c r="D68" s="96"/>
      <c r="E68" s="96"/>
      <c r="F68" s="96"/>
      <c r="G68" s="96"/>
      <c r="H68" s="96"/>
    </row>
    <row r="69" spans="1:8">
      <c r="A69" s="95"/>
      <c r="B69" s="96"/>
      <c r="C69" s="96"/>
      <c r="D69" s="96"/>
      <c r="E69" s="96"/>
      <c r="F69" s="96"/>
      <c r="G69" s="96"/>
      <c r="H69" s="96"/>
    </row>
    <row r="70" spans="1:8">
      <c r="A70" s="95" t="str">
        <f>A40</f>
        <v>Green Gram/ Moong</v>
      </c>
      <c r="B70" s="96"/>
      <c r="C70" s="96"/>
      <c r="D70" s="96"/>
      <c r="E70" s="96"/>
      <c r="F70" s="96"/>
      <c r="G70" s="96"/>
      <c r="H70" s="96"/>
    </row>
    <row r="71" spans="1:8">
      <c r="A71" s="95" t="s">
        <v>712</v>
      </c>
      <c r="B71" s="393">
        <f>B40*100%</f>
        <v>635.19223320000015</v>
      </c>
      <c r="C71" s="393">
        <f t="shared" ref="C71:H71" si="17">C40*100%</f>
        <v>793.99029150000013</v>
      </c>
      <c r="D71" s="393">
        <f t="shared" si="17"/>
        <v>952.78834979999999</v>
      </c>
      <c r="E71" s="393">
        <f t="shared" si="17"/>
        <v>1111.5864081000002</v>
      </c>
      <c r="F71" s="393">
        <f t="shared" si="17"/>
        <v>1270.3844664000001</v>
      </c>
      <c r="G71" s="393">
        <f t="shared" si="17"/>
        <v>1429.1825247000002</v>
      </c>
      <c r="H71" s="393">
        <f t="shared" si="17"/>
        <v>1587.9805829999998</v>
      </c>
    </row>
    <row r="72" spans="1:8">
      <c r="A72" s="95" t="s">
        <v>142</v>
      </c>
      <c r="B72" s="96">
        <f>B40*0%</f>
        <v>0</v>
      </c>
      <c r="C72" s="96">
        <f t="shared" ref="C72:H72" si="18">C40*0%</f>
        <v>0</v>
      </c>
      <c r="D72" s="96">
        <f t="shared" si="18"/>
        <v>0</v>
      </c>
      <c r="E72" s="96">
        <f t="shared" si="18"/>
        <v>0</v>
      </c>
      <c r="F72" s="96">
        <f t="shared" si="18"/>
        <v>0</v>
      </c>
      <c r="G72" s="96">
        <f t="shared" si="18"/>
        <v>0</v>
      </c>
      <c r="H72" s="96">
        <f t="shared" si="18"/>
        <v>0</v>
      </c>
    </row>
    <row r="73" spans="1:8">
      <c r="A73" s="95" t="str">
        <f>A41</f>
        <v>Maize</v>
      </c>
      <c r="B73" s="96"/>
      <c r="C73" s="96"/>
      <c r="D73" s="96"/>
      <c r="E73" s="96"/>
      <c r="F73" s="96"/>
      <c r="G73" s="96"/>
      <c r="H73" s="96"/>
    </row>
    <row r="74" spans="1:8">
      <c r="A74" s="95"/>
      <c r="B74" s="96"/>
      <c r="C74" s="96"/>
      <c r="D74" s="96"/>
      <c r="E74" s="96"/>
      <c r="F74" s="96"/>
      <c r="G74" s="96"/>
      <c r="H74" s="96"/>
    </row>
    <row r="75" spans="1:8">
      <c r="A75" s="95"/>
      <c r="B75" s="96"/>
      <c r="C75" s="96"/>
      <c r="D75" s="96"/>
      <c r="E75" s="96"/>
      <c r="F75" s="96"/>
      <c r="G75" s="96"/>
      <c r="H75" s="96"/>
    </row>
    <row r="76" spans="1:8">
      <c r="A76" s="95"/>
      <c r="B76" s="96"/>
      <c r="C76" s="96"/>
      <c r="D76" s="96"/>
      <c r="E76" s="96"/>
      <c r="F76" s="96"/>
      <c r="G76" s="96"/>
      <c r="H76" s="96"/>
    </row>
    <row r="77" spans="1:8">
      <c r="A77" s="95"/>
      <c r="B77" s="96"/>
      <c r="C77" s="96"/>
      <c r="D77" s="96"/>
      <c r="E77" s="96"/>
      <c r="F77" s="96"/>
      <c r="G77" s="96"/>
      <c r="H77" s="96"/>
    </row>
    <row r="78" spans="1:8">
      <c r="A78" s="95" t="str">
        <f>A42</f>
        <v>Black Gram/Udid</v>
      </c>
      <c r="B78" s="96"/>
      <c r="C78" s="96"/>
      <c r="D78" s="96"/>
      <c r="E78" s="96"/>
      <c r="F78" s="96"/>
      <c r="G78" s="96"/>
      <c r="H78" s="96"/>
    </row>
    <row r="79" spans="1:8">
      <c r="A79" s="95" t="s">
        <v>712</v>
      </c>
      <c r="B79" s="393">
        <f>B42*100%</f>
        <v>388.89320400000003</v>
      </c>
      <c r="C79" s="96">
        <f t="shared" ref="C79:H79" si="19">C42*80%</f>
        <v>388.89320399999997</v>
      </c>
      <c r="D79" s="96">
        <f t="shared" si="19"/>
        <v>466.67184479999992</v>
      </c>
      <c r="E79" s="96">
        <f t="shared" si="19"/>
        <v>544.45048559999998</v>
      </c>
      <c r="F79" s="96">
        <f t="shared" si="19"/>
        <v>622.22912639999993</v>
      </c>
      <c r="G79" s="96">
        <f t="shared" si="19"/>
        <v>700.00776719999988</v>
      </c>
      <c r="H79" s="96">
        <f t="shared" si="19"/>
        <v>777.78640799999982</v>
      </c>
    </row>
    <row r="80" spans="1:8">
      <c r="A80" s="95" t="s">
        <v>142</v>
      </c>
      <c r="B80" s="96">
        <f>B42*0%</f>
        <v>0</v>
      </c>
      <c r="C80" s="96">
        <f t="shared" ref="C80:H80" si="20">C42*0%</f>
        <v>0</v>
      </c>
      <c r="D80" s="96">
        <f t="shared" si="20"/>
        <v>0</v>
      </c>
      <c r="E80" s="96">
        <f t="shared" si="20"/>
        <v>0</v>
      </c>
      <c r="F80" s="96">
        <f t="shared" si="20"/>
        <v>0</v>
      </c>
      <c r="G80" s="96">
        <f t="shared" si="20"/>
        <v>0</v>
      </c>
      <c r="H80" s="96">
        <f t="shared" si="20"/>
        <v>0</v>
      </c>
    </row>
    <row r="81" spans="1:8">
      <c r="A81" s="95" t="str">
        <f>A43</f>
        <v>Bajra</v>
      </c>
      <c r="B81" s="96"/>
      <c r="C81" s="96"/>
      <c r="D81" s="96"/>
      <c r="E81" s="96"/>
      <c r="F81" s="96"/>
      <c r="G81" s="96"/>
      <c r="H81" s="96"/>
    </row>
    <row r="82" spans="1:8">
      <c r="A82" s="95"/>
      <c r="B82" s="96"/>
      <c r="C82" s="96"/>
      <c r="D82" s="96"/>
      <c r="E82" s="96"/>
      <c r="F82" s="96"/>
      <c r="G82" s="96"/>
      <c r="H82" s="96"/>
    </row>
    <row r="83" spans="1:8">
      <c r="A83" s="95"/>
      <c r="B83" s="96"/>
      <c r="C83" s="96"/>
      <c r="D83" s="96"/>
      <c r="E83" s="96"/>
      <c r="F83" s="96"/>
      <c r="G83" s="96"/>
      <c r="H83" s="96"/>
    </row>
    <row r="84" spans="1:8">
      <c r="A84" s="95" t="str">
        <f>A44</f>
        <v>Jawar</v>
      </c>
      <c r="B84" s="96"/>
      <c r="C84" s="96"/>
      <c r="D84" s="96"/>
      <c r="E84" s="96"/>
      <c r="F84" s="96"/>
      <c r="G84" s="96"/>
      <c r="H84" s="96"/>
    </row>
    <row r="85" spans="1:8">
      <c r="A85" s="95"/>
      <c r="B85" s="96"/>
      <c r="C85" s="96"/>
      <c r="D85" s="96"/>
      <c r="E85" s="96"/>
      <c r="F85" s="96"/>
      <c r="G85" s="96"/>
      <c r="H85" s="96"/>
    </row>
    <row r="86" spans="1:8">
      <c r="A86" s="95"/>
      <c r="B86" s="96"/>
      <c r="C86" s="96"/>
      <c r="D86" s="96"/>
      <c r="E86" s="96"/>
      <c r="F86" s="96"/>
      <c r="G86" s="96"/>
      <c r="H86" s="96"/>
    </row>
    <row r="87" spans="1:8">
      <c r="A87" s="95"/>
      <c r="B87" s="96"/>
      <c r="C87" s="96"/>
      <c r="D87" s="96"/>
      <c r="E87" s="96"/>
      <c r="F87" s="96"/>
      <c r="G87" s="96"/>
      <c r="H87" s="96"/>
    </row>
    <row r="88" spans="1:8">
      <c r="A88" s="95" t="str">
        <f>A45</f>
        <v>Sunflower</v>
      </c>
      <c r="B88" s="96"/>
      <c r="C88" s="96"/>
      <c r="D88" s="96"/>
      <c r="E88" s="96"/>
      <c r="F88" s="96"/>
      <c r="G88" s="96"/>
      <c r="H88" s="96"/>
    </row>
    <row r="89" spans="1:8">
      <c r="A89" s="95"/>
      <c r="B89" s="96"/>
      <c r="C89" s="96"/>
      <c r="D89" s="96"/>
      <c r="E89" s="96"/>
      <c r="F89" s="96"/>
      <c r="G89" s="96"/>
      <c r="H89" s="96"/>
    </row>
    <row r="90" spans="1:8">
      <c r="A90" s="95"/>
      <c r="B90" s="96"/>
      <c r="C90" s="96"/>
      <c r="D90" s="96"/>
      <c r="E90" s="96"/>
      <c r="F90" s="96"/>
      <c r="G90" s="96"/>
      <c r="H90" s="96"/>
    </row>
    <row r="91" spans="1:8">
      <c r="A91" s="95"/>
      <c r="B91" s="96"/>
      <c r="C91" s="96"/>
      <c r="D91" s="96"/>
      <c r="E91" s="96"/>
      <c r="F91" s="96"/>
      <c r="G91" s="96"/>
      <c r="H91" s="96"/>
    </row>
    <row r="92" spans="1:8">
      <c r="A92" s="95" t="str">
        <f>A46</f>
        <v>Wheat</v>
      </c>
      <c r="B92" s="393"/>
      <c r="C92" s="96"/>
      <c r="D92" s="96"/>
      <c r="E92" s="96"/>
      <c r="F92" s="96"/>
      <c r="G92" s="96"/>
      <c r="H92" s="96"/>
    </row>
    <row r="93" spans="1:8">
      <c r="A93" s="95" t="s">
        <v>712</v>
      </c>
      <c r="B93" s="393">
        <f>B46*100%</f>
        <v>500.00554800000003</v>
      </c>
      <c r="C93" s="393">
        <f t="shared" ref="C93:H93" si="21">C46*100%</f>
        <v>625.006935</v>
      </c>
      <c r="D93" s="393">
        <f t="shared" si="21"/>
        <v>750.00832200000002</v>
      </c>
      <c r="E93" s="393">
        <f t="shared" si="21"/>
        <v>875.00970899999993</v>
      </c>
      <c r="F93" s="393">
        <f t="shared" si="21"/>
        <v>1000.011096</v>
      </c>
      <c r="G93" s="393">
        <f t="shared" si="21"/>
        <v>1125.012483</v>
      </c>
      <c r="H93" s="393">
        <f t="shared" si="21"/>
        <v>1250.0138699999998</v>
      </c>
    </row>
    <row r="94" spans="1:8">
      <c r="A94" s="95"/>
      <c r="B94" s="96"/>
      <c r="C94" s="96"/>
      <c r="D94" s="96"/>
      <c r="E94" s="96"/>
      <c r="F94" s="96"/>
      <c r="G94" s="96"/>
      <c r="H94" s="96"/>
    </row>
    <row r="95" spans="1:8">
      <c r="A95" s="95"/>
      <c r="B95" s="96"/>
      <c r="C95" s="96"/>
      <c r="D95" s="96"/>
      <c r="E95" s="96"/>
      <c r="F95" s="96"/>
      <c r="G95" s="96"/>
      <c r="H95" s="96"/>
    </row>
    <row r="96" spans="1:8">
      <c r="A96" s="95" t="str">
        <f>A47</f>
        <v>Bengal Gram/Channa</v>
      </c>
      <c r="B96" s="96"/>
      <c r="C96" s="96"/>
      <c r="D96" s="96"/>
      <c r="E96" s="96"/>
      <c r="F96" s="96"/>
      <c r="G96" s="96"/>
      <c r="H96" s="96"/>
    </row>
    <row r="97" spans="1:8">
      <c r="A97" s="95" t="s">
        <v>712</v>
      </c>
      <c r="B97" s="393">
        <f>B47*100%</f>
        <v>833.34258000000011</v>
      </c>
      <c r="C97" s="393">
        <f t="shared" ref="C97:H97" si="22">C47*100%</f>
        <v>1041.6782249999999</v>
      </c>
      <c r="D97" s="393">
        <f t="shared" si="22"/>
        <v>1250.0138699999998</v>
      </c>
      <c r="E97" s="393">
        <f t="shared" si="22"/>
        <v>1458.3495149999997</v>
      </c>
      <c r="F97" s="393">
        <f t="shared" si="22"/>
        <v>1666.6851599999998</v>
      </c>
      <c r="G97" s="393">
        <f t="shared" si="22"/>
        <v>1875.0208049999999</v>
      </c>
      <c r="H97" s="393">
        <f t="shared" si="22"/>
        <v>2083.3564499999998</v>
      </c>
    </row>
    <row r="98" spans="1:8">
      <c r="A98" s="95" t="s">
        <v>142</v>
      </c>
      <c r="B98" s="96">
        <f>B47*0%</f>
        <v>0</v>
      </c>
      <c r="C98" s="96">
        <f t="shared" ref="C98:H98" si="23">C47*0%</f>
        <v>0</v>
      </c>
      <c r="D98" s="96">
        <f t="shared" si="23"/>
        <v>0</v>
      </c>
      <c r="E98" s="96">
        <f t="shared" si="23"/>
        <v>0</v>
      </c>
      <c r="F98" s="96">
        <f t="shared" si="23"/>
        <v>0</v>
      </c>
      <c r="G98" s="96">
        <f t="shared" si="23"/>
        <v>0</v>
      </c>
      <c r="H98" s="96">
        <f t="shared" si="23"/>
        <v>0</v>
      </c>
    </row>
    <row r="99" spans="1:8">
      <c r="A99" s="95" t="str">
        <f>A48</f>
        <v>Jawar</v>
      </c>
      <c r="B99" s="96"/>
      <c r="C99" s="96"/>
      <c r="D99" s="96"/>
      <c r="E99" s="96"/>
      <c r="F99" s="96"/>
      <c r="G99" s="96"/>
      <c r="H99" s="96"/>
    </row>
    <row r="100" spans="1:8">
      <c r="A100" s="95"/>
      <c r="B100" s="96"/>
      <c r="C100" s="96"/>
      <c r="D100" s="96"/>
      <c r="E100" s="96"/>
      <c r="F100" s="96"/>
      <c r="G100" s="96"/>
      <c r="H100" s="96"/>
    </row>
    <row r="101" spans="1:8">
      <c r="A101" s="95"/>
      <c r="B101" s="96"/>
      <c r="C101" s="96"/>
      <c r="D101" s="96"/>
      <c r="E101" s="96"/>
      <c r="F101" s="96"/>
      <c r="G101" s="96"/>
      <c r="H101" s="96"/>
    </row>
    <row r="102" spans="1:8">
      <c r="A102" s="95" t="str">
        <f>A49</f>
        <v>Maize</v>
      </c>
      <c r="B102" s="96"/>
      <c r="C102" s="96"/>
      <c r="D102" s="96"/>
      <c r="E102" s="96"/>
      <c r="F102" s="96"/>
      <c r="G102" s="96"/>
      <c r="H102" s="96"/>
    </row>
    <row r="103" spans="1:8">
      <c r="A103" s="95" t="s">
        <v>714</v>
      </c>
      <c r="B103" s="393">
        <f>B49*100%</f>
        <v>740.74896000000001</v>
      </c>
      <c r="C103" s="393">
        <f t="shared" ref="C103:H103" si="24">C49*100%</f>
        <v>925.93619999999987</v>
      </c>
      <c r="D103" s="393">
        <f t="shared" si="24"/>
        <v>1111.1234399999996</v>
      </c>
      <c r="E103" s="393">
        <f t="shared" si="24"/>
        <v>1296.3106799999998</v>
      </c>
      <c r="F103" s="393">
        <f t="shared" si="24"/>
        <v>1481.4979199999996</v>
      </c>
      <c r="G103" s="393">
        <f t="shared" si="24"/>
        <v>1666.6851599999995</v>
      </c>
      <c r="H103" s="393">
        <f t="shared" si="24"/>
        <v>1851.8723999999993</v>
      </c>
    </row>
    <row r="104" spans="1:8">
      <c r="A104" s="95"/>
      <c r="B104" s="96"/>
      <c r="C104" s="96"/>
      <c r="D104" s="96"/>
      <c r="E104" s="96"/>
      <c r="F104" s="96"/>
      <c r="G104" s="96"/>
      <c r="H104" s="96"/>
    </row>
    <row r="105" spans="1:8">
      <c r="A105" s="95"/>
      <c r="B105" s="96"/>
      <c r="C105" s="96"/>
      <c r="D105" s="96"/>
      <c r="E105" s="96"/>
      <c r="F105" s="96"/>
      <c r="G105" s="96"/>
      <c r="H105" s="96"/>
    </row>
    <row r="106" spans="1:8">
      <c r="A106" s="95" t="str">
        <f>A50</f>
        <v>Safflower</v>
      </c>
      <c r="B106" s="96"/>
      <c r="C106" s="96"/>
      <c r="D106" s="96"/>
      <c r="E106" s="96"/>
      <c r="F106" s="96"/>
      <c r="G106" s="96"/>
      <c r="H106" s="96"/>
    </row>
    <row r="107" spans="1:8">
      <c r="A107" s="95"/>
      <c r="B107" s="96"/>
      <c r="C107" s="96"/>
      <c r="D107" s="96"/>
      <c r="E107" s="96"/>
      <c r="F107" s="96"/>
      <c r="G107" s="96"/>
      <c r="H107" s="96"/>
    </row>
    <row r="108" spans="1:8">
      <c r="A108" s="95"/>
      <c r="B108" s="96"/>
      <c r="C108" s="96"/>
      <c r="D108" s="96"/>
      <c r="E108" s="96"/>
      <c r="F108" s="96"/>
      <c r="G108" s="96"/>
      <c r="H108" s="96"/>
    </row>
    <row r="109" spans="1:8">
      <c r="A109" s="95">
        <f>A51</f>
        <v>0</v>
      </c>
      <c r="B109" s="96"/>
      <c r="C109" s="96"/>
      <c r="D109" s="96"/>
      <c r="E109" s="96"/>
      <c r="F109" s="96"/>
      <c r="G109" s="96"/>
      <c r="H109" s="96"/>
    </row>
    <row r="110" spans="1:8">
      <c r="A110" s="95"/>
      <c r="B110" s="96"/>
      <c r="C110" s="96"/>
      <c r="D110" s="96"/>
      <c r="E110" s="96"/>
      <c r="F110" s="96"/>
      <c r="G110" s="96"/>
      <c r="H110" s="96"/>
    </row>
    <row r="111" spans="1:8">
      <c r="A111" s="95"/>
      <c r="B111" s="96"/>
      <c r="C111" s="96"/>
      <c r="D111" s="96"/>
      <c r="E111" s="96"/>
      <c r="F111" s="96"/>
      <c r="G111" s="96"/>
      <c r="H111" s="96"/>
    </row>
    <row r="112" spans="1:8">
      <c r="A112" s="95">
        <f>A52</f>
        <v>0</v>
      </c>
      <c r="B112" s="96"/>
      <c r="C112" s="96"/>
      <c r="D112" s="96"/>
      <c r="E112" s="96"/>
      <c r="F112" s="96"/>
      <c r="G112" s="96"/>
      <c r="H112" s="96"/>
    </row>
    <row r="113" spans="1:8">
      <c r="A113" s="95"/>
      <c r="B113" s="96"/>
      <c r="C113" s="96"/>
      <c r="D113" s="96"/>
      <c r="E113" s="96"/>
      <c r="F113" s="96"/>
      <c r="G113" s="96"/>
      <c r="H113" s="96"/>
    </row>
    <row r="114" spans="1:8">
      <c r="A114" s="95"/>
      <c r="B114" s="96"/>
      <c r="C114" s="96"/>
      <c r="D114" s="96"/>
      <c r="E114" s="96"/>
      <c r="F114" s="96"/>
      <c r="G114" s="96"/>
      <c r="H114" s="96"/>
    </row>
    <row r="115" spans="1:8">
      <c r="A115" s="95">
        <f>A53</f>
        <v>0</v>
      </c>
      <c r="B115" s="96"/>
      <c r="C115" s="96"/>
      <c r="D115" s="96"/>
      <c r="E115" s="96"/>
      <c r="F115" s="96"/>
      <c r="G115" s="96"/>
      <c r="H115" s="96"/>
    </row>
    <row r="116" spans="1:8">
      <c r="A116" s="95"/>
      <c r="B116" s="96"/>
      <c r="C116" s="96"/>
      <c r="D116" s="96"/>
      <c r="E116" s="96"/>
      <c r="F116" s="96"/>
      <c r="G116" s="96"/>
      <c r="H116" s="96"/>
    </row>
    <row r="117" spans="1:8">
      <c r="A117" s="95"/>
      <c r="B117" s="96"/>
      <c r="C117" s="96"/>
      <c r="D117" s="96"/>
      <c r="E117" s="96"/>
      <c r="F117" s="96"/>
      <c r="G117" s="96"/>
      <c r="H117" s="96"/>
    </row>
    <row r="118" spans="1:8">
      <c r="A118" s="95" t="str">
        <f>A54</f>
        <v>Groundnut</v>
      </c>
      <c r="B118" s="96"/>
      <c r="C118" s="96"/>
      <c r="D118" s="96"/>
      <c r="E118" s="96"/>
      <c r="F118" s="96"/>
      <c r="G118" s="96"/>
      <c r="H118" s="96"/>
    </row>
    <row r="119" spans="1:8">
      <c r="A119" s="95"/>
      <c r="B119" s="96"/>
      <c r="C119" s="96"/>
      <c r="D119" s="96"/>
      <c r="E119" s="96"/>
      <c r="F119" s="96"/>
      <c r="G119" s="96"/>
      <c r="H119" s="96"/>
    </row>
    <row r="120" spans="1:8">
      <c r="A120" s="95"/>
      <c r="B120" s="96"/>
      <c r="C120" s="96"/>
      <c r="D120" s="96"/>
      <c r="E120" s="96"/>
      <c r="F120" s="96"/>
      <c r="G120" s="96"/>
      <c r="H120" s="96"/>
    </row>
    <row r="121" spans="1:8">
      <c r="A121" s="95">
        <f>A55</f>
        <v>0</v>
      </c>
      <c r="B121" s="96"/>
      <c r="C121" s="96"/>
      <c r="D121" s="96"/>
      <c r="E121" s="96"/>
      <c r="F121" s="96"/>
      <c r="G121" s="96"/>
      <c r="H121" s="96"/>
    </row>
    <row r="122" spans="1:8">
      <c r="A122" s="95"/>
      <c r="B122" s="96"/>
      <c r="C122" s="96"/>
      <c r="D122" s="96"/>
      <c r="E122" s="96"/>
      <c r="F122" s="96"/>
      <c r="G122" s="96"/>
      <c r="H122" s="96"/>
    </row>
    <row r="123" spans="1:8">
      <c r="A123" s="95"/>
      <c r="B123" s="96"/>
      <c r="C123" s="96"/>
      <c r="D123" s="96"/>
      <c r="E123" s="96"/>
      <c r="F123" s="96"/>
      <c r="G123" s="96"/>
      <c r="H123" s="96"/>
    </row>
    <row r="124" spans="1:8">
      <c r="A124" s="95">
        <f>A56</f>
        <v>0</v>
      </c>
      <c r="B124" s="96"/>
      <c r="C124" s="96"/>
      <c r="D124" s="96"/>
      <c r="E124" s="96"/>
      <c r="F124" s="96"/>
      <c r="G124" s="96"/>
      <c r="H124" s="96"/>
    </row>
    <row r="125" spans="1:8">
      <c r="A125" s="186"/>
      <c r="B125" s="310"/>
      <c r="C125" s="310"/>
      <c r="D125" s="310"/>
      <c r="E125" s="310"/>
      <c r="F125" s="310"/>
      <c r="G125" s="310"/>
      <c r="H125" s="310"/>
    </row>
    <row r="126" spans="1:8">
      <c r="A126" s="186"/>
      <c r="B126" s="310"/>
      <c r="C126" s="310"/>
      <c r="D126" s="310"/>
      <c r="E126" s="310"/>
      <c r="F126" s="310"/>
      <c r="G126" s="310"/>
      <c r="H126" s="310"/>
    </row>
    <row r="127" spans="1:8">
      <c r="A127" s="187" t="s">
        <v>456</v>
      </c>
      <c r="B127">
        <v>50</v>
      </c>
    </row>
    <row r="134" spans="1:10" ht="18.75">
      <c r="A134" s="417" t="s">
        <v>711</v>
      </c>
      <c r="B134" s="417"/>
      <c r="C134" s="417"/>
      <c r="D134" s="417"/>
      <c r="E134" s="417"/>
      <c r="F134" s="417"/>
      <c r="G134" s="417"/>
      <c r="H134" s="417"/>
      <c r="I134" s="417"/>
      <c r="J134" s="417"/>
    </row>
    <row r="135" spans="1:10">
      <c r="A135" s="60"/>
      <c r="B135" s="62"/>
      <c r="C135" s="62"/>
      <c r="D135" s="60"/>
      <c r="E135" s="60"/>
      <c r="F135" s="60"/>
      <c r="G135" s="60"/>
      <c r="H135" s="60"/>
    </row>
    <row r="136" spans="1:10">
      <c r="A136" s="192"/>
      <c r="B136" s="192"/>
      <c r="C136" s="192"/>
      <c r="D136" s="193">
        <v>1</v>
      </c>
      <c r="E136" s="194">
        <f>(D136*5%)+D136</f>
        <v>1.05</v>
      </c>
      <c r="F136" s="194">
        <f t="shared" ref="F136:J136" si="25">(E136*5%)+E136</f>
        <v>1.1025</v>
      </c>
      <c r="G136" s="194">
        <f t="shared" si="25"/>
        <v>1.1576250000000001</v>
      </c>
      <c r="H136" s="194">
        <f t="shared" si="25"/>
        <v>1.2155062500000002</v>
      </c>
      <c r="I136" s="194">
        <f t="shared" si="25"/>
        <v>1.2762815625000004</v>
      </c>
      <c r="J136" s="194">
        <f t="shared" si="25"/>
        <v>1.3400956406250004</v>
      </c>
    </row>
    <row r="137" spans="1:10">
      <c r="A137" s="94"/>
      <c r="B137" s="94"/>
      <c r="C137" s="94"/>
      <c r="D137" s="94"/>
      <c r="E137" s="94"/>
      <c r="F137" s="94"/>
      <c r="G137" s="94"/>
      <c r="H137" s="94"/>
      <c r="I137" s="94"/>
      <c r="J137" s="94"/>
    </row>
    <row r="138" spans="1:10">
      <c r="A138" s="148" t="s">
        <v>0</v>
      </c>
      <c r="B138" s="148" t="s">
        <v>133</v>
      </c>
      <c r="C138" s="148" t="s">
        <v>154</v>
      </c>
      <c r="D138" s="120" t="s">
        <v>2</v>
      </c>
      <c r="E138" s="120" t="s">
        <v>3</v>
      </c>
      <c r="F138" s="120" t="s">
        <v>4</v>
      </c>
      <c r="G138" s="120" t="s">
        <v>5</v>
      </c>
      <c r="H138" s="120" t="s">
        <v>6</v>
      </c>
      <c r="I138" s="120" t="s">
        <v>171</v>
      </c>
      <c r="J138" s="120" t="s">
        <v>170</v>
      </c>
    </row>
    <row r="139" spans="1:10">
      <c r="A139" s="95"/>
      <c r="B139" s="95"/>
      <c r="C139" s="95"/>
      <c r="D139" s="95"/>
      <c r="E139" s="95"/>
      <c r="F139" s="95"/>
      <c r="G139" s="95"/>
      <c r="H139" s="95"/>
      <c r="I139" s="95"/>
      <c r="J139" s="95"/>
    </row>
    <row r="140" spans="1:10">
      <c r="A140" s="97" t="s">
        <v>127</v>
      </c>
      <c r="B140" s="97"/>
      <c r="C140" s="97"/>
      <c r="D140" s="114"/>
      <c r="E140" s="114"/>
      <c r="F140" s="114"/>
      <c r="G140" s="114"/>
      <c r="H140" s="114"/>
      <c r="I140" s="95"/>
      <c r="J140" s="95"/>
    </row>
    <row r="141" spans="1:10">
      <c r="A141" s="97" t="s">
        <v>713</v>
      </c>
      <c r="B141" s="97"/>
      <c r="C141" s="97"/>
      <c r="D141" s="95"/>
      <c r="E141" s="95"/>
      <c r="F141" s="95"/>
      <c r="G141" s="95"/>
      <c r="H141" s="95"/>
      <c r="I141" s="95"/>
      <c r="J141" s="95"/>
    </row>
    <row r="142" spans="1:10">
      <c r="A142" s="95" t="s">
        <v>165</v>
      </c>
      <c r="B142" s="233" t="s">
        <v>715</v>
      </c>
      <c r="C142" s="233">
        <v>5500</v>
      </c>
      <c r="D142" s="96">
        <f>C142*B97*D136</f>
        <v>4583384.1900000004</v>
      </c>
      <c r="E142" s="96">
        <f>C142*C97*E136</f>
        <v>6015691.7493749997</v>
      </c>
      <c r="F142" s="96">
        <f>C142*D97*F136</f>
        <v>7579771.6042124983</v>
      </c>
      <c r="G142" s="96">
        <f>C142*E97*G136</f>
        <v>9285220.2151603103</v>
      </c>
      <c r="H142" s="96">
        <f>F97*C142*H136</f>
        <v>11142264.258192375</v>
      </c>
      <c r="I142" s="96">
        <f>G97*C142*I136</f>
        <v>13161799.654989747</v>
      </c>
      <c r="J142" s="96">
        <f>C142*H97*J136</f>
        <v>15355432.93082137</v>
      </c>
    </row>
    <row r="143" spans="1:10">
      <c r="A143" s="95" t="s">
        <v>166</v>
      </c>
      <c r="B143" s="233" t="s">
        <v>715</v>
      </c>
      <c r="C143" s="233">
        <v>0</v>
      </c>
      <c r="D143" s="96">
        <f>C143*B98*D137</f>
        <v>0</v>
      </c>
      <c r="E143" s="96">
        <f>C143*C98*E137</f>
        <v>0</v>
      </c>
      <c r="F143" s="96">
        <f>C143*D98*F137</f>
        <v>0</v>
      </c>
      <c r="G143" s="96">
        <f>C143*E98*G137</f>
        <v>0</v>
      </c>
      <c r="H143" s="96">
        <f>F98*C143*H137</f>
        <v>0</v>
      </c>
      <c r="I143" s="96">
        <f>G98*C143*I137</f>
        <v>0</v>
      </c>
      <c r="J143" s="96">
        <f>C143*H98*J137</f>
        <v>0</v>
      </c>
    </row>
    <row r="144" spans="1:10">
      <c r="A144" s="95" t="s">
        <v>322</v>
      </c>
      <c r="B144" s="233" t="s">
        <v>715</v>
      </c>
      <c r="C144" s="233">
        <v>6500</v>
      </c>
      <c r="D144" s="393">
        <f>C144*B79*D136</f>
        <v>2527805.8260000004</v>
      </c>
      <c r="E144" s="96">
        <f>C144*C79*E136</f>
        <v>2654196.1173</v>
      </c>
      <c r="F144" s="393">
        <f>C144*D79*F136</f>
        <v>3344287.1077979999</v>
      </c>
      <c r="G144" s="96">
        <f>C144*E79*G136</f>
        <v>4096751.7070525503</v>
      </c>
      <c r="H144" s="96">
        <f>C144*F79*H136</f>
        <v>4916102.0484630605</v>
      </c>
      <c r="I144" s="96">
        <f>C144*G79*I136</f>
        <v>5807145.5447469903</v>
      </c>
      <c r="J144" s="96">
        <f>C144*H79*J136</f>
        <v>6775003.1355381552</v>
      </c>
    </row>
    <row r="145" spans="1:13">
      <c r="A145" s="95" t="s">
        <v>321</v>
      </c>
      <c r="B145" s="233" t="s">
        <v>715</v>
      </c>
      <c r="C145" s="233">
        <v>6200</v>
      </c>
      <c r="D145" s="96">
        <f>B71*6200*D136</f>
        <v>3938191.845840001</v>
      </c>
      <c r="E145" s="96">
        <f t="shared" ref="E145:J145" si="26">C71*6200*E136</f>
        <v>5168876.7976650009</v>
      </c>
      <c r="F145" s="96">
        <f t="shared" si="26"/>
        <v>6512784.7650579009</v>
      </c>
      <c r="G145" s="96">
        <f t="shared" si="26"/>
        <v>7978161.3371959301</v>
      </c>
      <c r="H145" s="96">
        <f t="shared" si="26"/>
        <v>9573793.6046351157</v>
      </c>
      <c r="I145" s="96">
        <f t="shared" si="26"/>
        <v>11309043.695475232</v>
      </c>
      <c r="J145" s="96">
        <f t="shared" si="26"/>
        <v>13193884.311387768</v>
      </c>
      <c r="M145">
        <f>3750*2</f>
        <v>7500</v>
      </c>
    </row>
    <row r="146" spans="1:13">
      <c r="A146" s="95" t="str">
        <f>A102</f>
        <v>Maize</v>
      </c>
      <c r="B146" s="233" t="s">
        <v>715</v>
      </c>
      <c r="C146" s="233">
        <v>2100</v>
      </c>
      <c r="D146" s="96">
        <f>B103*D136*2100</f>
        <v>1555572.8160000001</v>
      </c>
      <c r="E146" s="96">
        <f t="shared" ref="E146:J146" si="27">C103*E136*2200</f>
        <v>2138912.622</v>
      </c>
      <c r="F146" s="96">
        <f t="shared" si="27"/>
        <v>2695029.9037199989</v>
      </c>
      <c r="G146" s="96">
        <f t="shared" si="27"/>
        <v>3301411.632057</v>
      </c>
      <c r="H146" s="96">
        <f t="shared" si="27"/>
        <v>3961693.9584683995</v>
      </c>
      <c r="I146" s="96">
        <f t="shared" si="27"/>
        <v>4679750.9884407977</v>
      </c>
      <c r="J146" s="96">
        <f t="shared" si="27"/>
        <v>5459709.4865142638</v>
      </c>
    </row>
    <row r="147" spans="1:13">
      <c r="A147" s="95" t="str">
        <f>A92</f>
        <v>Wheat</v>
      </c>
      <c r="B147" s="233" t="s">
        <v>715</v>
      </c>
      <c r="C147" s="233">
        <v>2800</v>
      </c>
      <c r="D147" s="96">
        <f>B93*2800*D136</f>
        <v>1400015.5344</v>
      </c>
      <c r="E147" s="96">
        <f t="shared" ref="E147:J147" si="28">C93*3000*E136</f>
        <v>1968771.84525</v>
      </c>
      <c r="F147" s="96">
        <f t="shared" si="28"/>
        <v>2480652.5250150003</v>
      </c>
      <c r="G147" s="96">
        <f t="shared" si="28"/>
        <v>3038799.3431433751</v>
      </c>
      <c r="H147" s="96">
        <f t="shared" si="28"/>
        <v>3646559.2117720502</v>
      </c>
      <c r="I147" s="96">
        <f t="shared" si="28"/>
        <v>4307498.0689057354</v>
      </c>
      <c r="J147" s="96">
        <f t="shared" si="28"/>
        <v>5025414.413723357</v>
      </c>
    </row>
    <row r="148" spans="1:13">
      <c r="A148" s="95" t="s">
        <v>169</v>
      </c>
      <c r="B148" s="233" t="s">
        <v>715</v>
      </c>
      <c r="C148" s="233">
        <v>5400</v>
      </c>
      <c r="D148" s="96">
        <f>B59*5400*D136</f>
        <v>9500105.4119999986</v>
      </c>
      <c r="E148" s="96">
        <f t="shared" ref="E148:J148" si="29">C59*5600*E136</f>
        <v>12930699.033</v>
      </c>
      <c r="F148" s="96">
        <f t="shared" si="29"/>
        <v>16292680.781580001</v>
      </c>
      <c r="G148" s="96">
        <f t="shared" si="29"/>
        <v>19958533.957435496</v>
      </c>
      <c r="H148" s="96">
        <f t="shared" si="29"/>
        <v>23950240.748922605</v>
      </c>
      <c r="I148" s="96">
        <f t="shared" si="29"/>
        <v>28291221.884664826</v>
      </c>
      <c r="J148" s="96">
        <f t="shared" si="29"/>
        <v>33006425.532108966</v>
      </c>
    </row>
    <row r="149" spans="1:13">
      <c r="A149" s="95"/>
      <c r="B149" s="233"/>
      <c r="C149" s="233"/>
      <c r="D149" s="96"/>
      <c r="E149" s="96"/>
      <c r="F149" s="96"/>
      <c r="G149" s="96"/>
      <c r="H149" s="96"/>
      <c r="I149" s="96"/>
      <c r="J149" s="96"/>
    </row>
    <row r="150" spans="1:13">
      <c r="A150" s="95"/>
      <c r="B150" s="95"/>
      <c r="C150" s="95"/>
      <c r="D150" s="96"/>
      <c r="E150" s="96"/>
      <c r="F150" s="96"/>
      <c r="G150" s="96"/>
      <c r="H150" s="96"/>
      <c r="I150" s="96"/>
      <c r="J150" s="96"/>
    </row>
    <row r="151" spans="1:13">
      <c r="A151" s="97" t="s">
        <v>142</v>
      </c>
      <c r="B151" s="238" t="s">
        <v>367</v>
      </c>
      <c r="C151" s="238"/>
      <c r="D151" s="96"/>
      <c r="E151" s="96"/>
      <c r="F151" s="96"/>
      <c r="G151" s="96"/>
      <c r="H151" s="96"/>
      <c r="I151" s="96"/>
      <c r="J151" s="96"/>
    </row>
    <row r="152" spans="1:13">
      <c r="A152" s="95"/>
      <c r="B152" s="233"/>
      <c r="C152" s="233"/>
      <c r="D152" s="96"/>
      <c r="E152" s="96"/>
      <c r="F152" s="96"/>
      <c r="G152" s="96"/>
      <c r="H152" s="96"/>
      <c r="I152" s="96"/>
      <c r="J152" s="96"/>
      <c r="K152" s="63">
        <f>[2]Output!T58*70*K136</f>
        <v>0</v>
      </c>
    </row>
    <row r="153" spans="1:13">
      <c r="A153" s="97" t="s">
        <v>298</v>
      </c>
      <c r="B153" s="238" t="s">
        <v>367</v>
      </c>
      <c r="C153" s="233">
        <v>10</v>
      </c>
      <c r="D153" s="96">
        <f t="shared" ref="D153:J153" si="30">(B35*100)*$C$153*D136</f>
        <v>4198194.7308</v>
      </c>
      <c r="E153" s="96">
        <f t="shared" si="30"/>
        <v>5510130.584174999</v>
      </c>
      <c r="F153" s="96">
        <f t="shared" si="30"/>
        <v>6942764.5360605</v>
      </c>
      <c r="G153" s="96">
        <f t="shared" si="30"/>
        <v>8504886.5566741135</v>
      </c>
      <c r="H153" s="96">
        <f t="shared" si="30"/>
        <v>10205863.868008934</v>
      </c>
      <c r="I153" s="96">
        <f t="shared" si="30"/>
        <v>12055676.694085557</v>
      </c>
      <c r="J153" s="96">
        <f t="shared" si="30"/>
        <v>14064956.143099815</v>
      </c>
    </row>
    <row r="154" spans="1:13">
      <c r="A154" s="95"/>
      <c r="B154" s="95"/>
      <c r="C154" s="95"/>
      <c r="D154" s="96"/>
      <c r="E154" s="96"/>
      <c r="F154" s="96"/>
      <c r="G154" s="96"/>
      <c r="H154" s="96"/>
      <c r="I154" s="96"/>
      <c r="J154" s="96"/>
    </row>
    <row r="155" spans="1:13">
      <c r="A155" s="97" t="s">
        <v>127</v>
      </c>
      <c r="B155" s="97"/>
      <c r="C155" s="97"/>
      <c r="D155" s="115">
        <f>SUM(D142:D153)</f>
        <v>27703270.355039999</v>
      </c>
      <c r="E155" s="115">
        <f t="shared" ref="E155:J155" si="31">SUM(E142:E153)</f>
        <v>36387278.748764999</v>
      </c>
      <c r="F155" s="115">
        <f t="shared" si="31"/>
        <v>45847971.223443896</v>
      </c>
      <c r="G155" s="115">
        <f t="shared" si="31"/>
        <v>56163764.748718776</v>
      </c>
      <c r="H155" s="115">
        <f t="shared" si="31"/>
        <v>67396517.698462546</v>
      </c>
      <c r="I155" s="115">
        <f t="shared" si="31"/>
        <v>79612136.531308874</v>
      </c>
      <c r="J155" s="115">
        <f t="shared" si="31"/>
        <v>92880825.953193694</v>
      </c>
    </row>
    <row r="156" spans="1:13">
      <c r="A156" s="95"/>
      <c r="B156" s="95"/>
      <c r="C156" s="95"/>
      <c r="D156" s="96"/>
      <c r="E156" s="96"/>
      <c r="F156" s="96"/>
      <c r="G156" s="96"/>
      <c r="H156" s="96"/>
      <c r="I156" s="96"/>
      <c r="J156" s="96"/>
    </row>
    <row r="157" spans="1:13">
      <c r="A157" s="97" t="s">
        <v>143</v>
      </c>
      <c r="B157" s="97"/>
      <c r="C157" s="97"/>
      <c r="D157" s="96"/>
      <c r="E157" s="96"/>
      <c r="F157" s="96"/>
      <c r="G157" s="96"/>
      <c r="H157" s="96"/>
      <c r="I157" s="96"/>
      <c r="J157" s="96"/>
    </row>
    <row r="158" spans="1:13">
      <c r="A158" s="97" t="s">
        <v>316</v>
      </c>
      <c r="B158" s="97"/>
      <c r="C158" s="95"/>
      <c r="D158" s="96"/>
      <c r="E158" s="96"/>
      <c r="F158" s="96"/>
      <c r="G158" s="96"/>
      <c r="H158" s="96"/>
      <c r="I158" s="96"/>
      <c r="J158" s="96"/>
    </row>
    <row r="159" spans="1:13">
      <c r="A159" s="99" t="s">
        <v>165</v>
      </c>
      <c r="B159" s="233" t="s">
        <v>368</v>
      </c>
      <c r="C159" s="257">
        <v>5200</v>
      </c>
      <c r="D159" s="96">
        <f t="shared" ref="D159:J159" si="32">(B47)*$C$159*D136</f>
        <v>4333381.4160000002</v>
      </c>
      <c r="E159" s="96">
        <f t="shared" si="32"/>
        <v>5687563.1085000001</v>
      </c>
      <c r="F159" s="96">
        <f t="shared" si="32"/>
        <v>7166329.5167099992</v>
      </c>
      <c r="G159" s="96">
        <f t="shared" si="32"/>
        <v>8778753.6579697486</v>
      </c>
      <c r="H159" s="96">
        <f t="shared" si="32"/>
        <v>10534504.3895637</v>
      </c>
      <c r="I159" s="96">
        <f t="shared" si="32"/>
        <v>12443883.310172122</v>
      </c>
      <c r="J159" s="96">
        <f t="shared" si="32"/>
        <v>14517863.861867478</v>
      </c>
    </row>
    <row r="160" spans="1:13">
      <c r="A160" s="95" t="s">
        <v>323</v>
      </c>
      <c r="B160" s="233" t="s">
        <v>368</v>
      </c>
      <c r="C160" s="257">
        <v>0</v>
      </c>
      <c r="D160" s="96">
        <f t="shared" ref="D160:J160" si="33">(B38)*$C$160*D136</f>
        <v>0</v>
      </c>
      <c r="E160" s="96">
        <f t="shared" si="33"/>
        <v>0</v>
      </c>
      <c r="F160" s="96">
        <f t="shared" si="33"/>
        <v>0</v>
      </c>
      <c r="G160" s="96">
        <f t="shared" si="33"/>
        <v>0</v>
      </c>
      <c r="H160" s="96">
        <f t="shared" si="33"/>
        <v>0</v>
      </c>
      <c r="I160" s="96">
        <f t="shared" si="33"/>
        <v>0</v>
      </c>
      <c r="J160" s="96">
        <f t="shared" si="33"/>
        <v>0</v>
      </c>
    </row>
    <row r="161" spans="1:10">
      <c r="A161" s="95" t="s">
        <v>324</v>
      </c>
      <c r="B161" s="233" t="s">
        <v>368</v>
      </c>
      <c r="C161" s="257">
        <v>6000</v>
      </c>
      <c r="D161" s="96">
        <f t="shared" ref="D161:J161" si="34">(B42)*$C$161*D136</f>
        <v>2333359.2239999999</v>
      </c>
      <c r="E161" s="96">
        <f t="shared" si="34"/>
        <v>3062533.9814999998</v>
      </c>
      <c r="F161" s="96">
        <f t="shared" si="34"/>
        <v>3858792.8166899993</v>
      </c>
      <c r="G161" s="96">
        <f t="shared" si="34"/>
        <v>4727021.2004452497</v>
      </c>
      <c r="H161" s="96">
        <f t="shared" si="34"/>
        <v>5672425.4405343002</v>
      </c>
      <c r="I161" s="96">
        <f t="shared" si="34"/>
        <v>6700552.5516311424</v>
      </c>
      <c r="J161" s="96">
        <f t="shared" si="34"/>
        <v>7817311.310236332</v>
      </c>
    </row>
    <row r="162" spans="1:10">
      <c r="A162" s="95" t="s">
        <v>321</v>
      </c>
      <c r="B162" s="233" t="s">
        <v>368</v>
      </c>
      <c r="C162" s="257">
        <v>5900</v>
      </c>
      <c r="D162" s="96">
        <f t="shared" ref="D162:J162" si="35">(B40)*$C$162*D136</f>
        <v>3747634.1758800009</v>
      </c>
      <c r="E162" s="96">
        <f t="shared" si="35"/>
        <v>4918769.8558425009</v>
      </c>
      <c r="F162" s="96">
        <f t="shared" si="35"/>
        <v>6197650.0183615498</v>
      </c>
      <c r="G162" s="96">
        <f t="shared" si="35"/>
        <v>7592121.2724929005</v>
      </c>
      <c r="H162" s="96">
        <f t="shared" si="35"/>
        <v>9110545.526991481</v>
      </c>
      <c r="I162" s="96">
        <f t="shared" si="35"/>
        <v>10761831.90375869</v>
      </c>
      <c r="J162" s="96">
        <f t="shared" si="35"/>
        <v>12555470.554385133</v>
      </c>
    </row>
    <row r="163" spans="1:10">
      <c r="A163" s="95" t="str">
        <f>A146</f>
        <v>Maize</v>
      </c>
      <c r="B163" s="233" t="s">
        <v>368</v>
      </c>
      <c r="C163" s="257">
        <v>1850</v>
      </c>
      <c r="D163" s="96">
        <f>B103*1850*D136</f>
        <v>1370385.5760000001</v>
      </c>
      <c r="E163" s="96">
        <f t="shared" ref="E163:J163" si="36">C103*1850*E136</f>
        <v>1798631.0684999998</v>
      </c>
      <c r="F163" s="96">
        <f t="shared" si="36"/>
        <v>2266275.1463099993</v>
      </c>
      <c r="G163" s="96">
        <f t="shared" si="36"/>
        <v>2776187.0542297498</v>
      </c>
      <c r="H163" s="96">
        <f t="shared" si="36"/>
        <v>3331424.4650756996</v>
      </c>
      <c r="I163" s="96">
        <f t="shared" si="36"/>
        <v>3935245.1493706708</v>
      </c>
      <c r="J163" s="96">
        <f t="shared" si="36"/>
        <v>4591119.3409324484</v>
      </c>
    </row>
    <row r="164" spans="1:10">
      <c r="A164" s="95" t="str">
        <f>A147</f>
        <v>Wheat</v>
      </c>
      <c r="B164" s="233" t="s">
        <v>368</v>
      </c>
      <c r="C164" s="257">
        <v>2500</v>
      </c>
      <c r="D164" s="96">
        <f>B93*2500*D136</f>
        <v>1250013.8700000001</v>
      </c>
      <c r="E164" s="96">
        <f t="shared" ref="E164:J164" si="37">C93*2500*E136</f>
        <v>1640643.204375</v>
      </c>
      <c r="F164" s="96">
        <f t="shared" si="37"/>
        <v>2067210.4375125002</v>
      </c>
      <c r="G164" s="96">
        <f t="shared" si="37"/>
        <v>2532332.7859528125</v>
      </c>
      <c r="H164" s="96">
        <f t="shared" si="37"/>
        <v>3038799.3431433751</v>
      </c>
      <c r="I164" s="96">
        <f t="shared" si="37"/>
        <v>3589581.7240881128</v>
      </c>
      <c r="J164" s="96">
        <f t="shared" si="37"/>
        <v>4187845.3447694639</v>
      </c>
    </row>
    <row r="165" spans="1:10">
      <c r="A165" s="95" t="str">
        <f>A148</f>
        <v>Soybean</v>
      </c>
      <c r="B165" s="233" t="s">
        <v>368</v>
      </c>
      <c r="C165" s="257">
        <v>5000</v>
      </c>
      <c r="D165" s="96">
        <f>B59*5000*D136</f>
        <v>8796393.8999999985</v>
      </c>
      <c r="E165" s="96">
        <f t="shared" ref="E165:J165" si="38">C59*5000*E136</f>
        <v>11545266.993749999</v>
      </c>
      <c r="F165" s="96">
        <f t="shared" si="38"/>
        <v>14547036.412125001</v>
      </c>
      <c r="G165" s="96">
        <f t="shared" si="38"/>
        <v>17820119.604853123</v>
      </c>
      <c r="H165" s="96">
        <f t="shared" si="38"/>
        <v>21384143.52582375</v>
      </c>
      <c r="I165" s="96">
        <f t="shared" si="38"/>
        <v>25260019.539879311</v>
      </c>
      <c r="J165" s="96">
        <f t="shared" si="38"/>
        <v>29470022.796525858</v>
      </c>
    </row>
    <row r="166" spans="1:10">
      <c r="A166" s="95"/>
      <c r="B166" s="233"/>
      <c r="C166" s="257"/>
      <c r="D166" s="96"/>
      <c r="E166" s="96"/>
      <c r="F166" s="96"/>
      <c r="G166" s="96"/>
      <c r="H166" s="96"/>
      <c r="I166" s="96"/>
      <c r="J166" s="96"/>
    </row>
    <row r="167" spans="1:10">
      <c r="A167" s="95"/>
      <c r="B167" s="233"/>
      <c r="C167" s="257"/>
      <c r="D167" s="96"/>
      <c r="E167" s="96"/>
      <c r="F167" s="96"/>
      <c r="G167" s="96"/>
      <c r="H167" s="96"/>
      <c r="I167" s="96"/>
      <c r="J167" s="96"/>
    </row>
    <row r="168" spans="1:10">
      <c r="A168" s="95"/>
      <c r="B168" s="233"/>
      <c r="C168" s="257"/>
      <c r="D168" s="96"/>
      <c r="E168" s="96"/>
      <c r="F168" s="96"/>
      <c r="G168" s="96"/>
      <c r="H168" s="96"/>
      <c r="I168" s="96"/>
      <c r="J168" s="96"/>
    </row>
    <row r="169" spans="1:10">
      <c r="A169" s="95" t="s">
        <v>369</v>
      </c>
      <c r="B169" s="233">
        <v>2</v>
      </c>
      <c r="C169" s="233">
        <v>0</v>
      </c>
      <c r="D169" s="96">
        <f t="shared" ref="D169:J169" si="39">(B32/10)*$B$169*$C$169*D136</f>
        <v>0</v>
      </c>
      <c r="E169" s="96">
        <f t="shared" si="39"/>
        <v>0</v>
      </c>
      <c r="F169" s="96">
        <f t="shared" si="39"/>
        <v>0</v>
      </c>
      <c r="G169" s="96">
        <f t="shared" si="39"/>
        <v>0</v>
      </c>
      <c r="H169" s="96">
        <f t="shared" si="39"/>
        <v>0</v>
      </c>
      <c r="I169" s="96">
        <f t="shared" si="39"/>
        <v>0</v>
      </c>
      <c r="J169" s="96">
        <f t="shared" si="39"/>
        <v>0</v>
      </c>
    </row>
    <row r="170" spans="1:10">
      <c r="A170" s="95" t="s">
        <v>325</v>
      </c>
      <c r="B170" s="233">
        <v>5</v>
      </c>
      <c r="C170" s="233">
        <v>300</v>
      </c>
      <c r="D170" s="96">
        <f t="shared" ref="D170:J170" si="40">B12*$B$170*$C$170*D136</f>
        <v>131193.58533750003</v>
      </c>
      <c r="E170" s="96">
        <f t="shared" si="40"/>
        <v>172191.58075546875</v>
      </c>
      <c r="F170" s="96">
        <f t="shared" si="40"/>
        <v>216961.39175189065</v>
      </c>
      <c r="G170" s="96">
        <f t="shared" si="40"/>
        <v>265777.70489606605</v>
      </c>
      <c r="H170" s="96">
        <f t="shared" si="40"/>
        <v>318933.24587527919</v>
      </c>
      <c r="I170" s="96">
        <f t="shared" si="40"/>
        <v>376739.89669017366</v>
      </c>
      <c r="J170" s="96">
        <f t="shared" si="40"/>
        <v>439529.87947186921</v>
      </c>
    </row>
    <row r="171" spans="1:10" hidden="1">
      <c r="A171" s="95" t="s">
        <v>145</v>
      </c>
      <c r="B171" s="95">
        <f>'2.Capex Details'!H46*0.746*8</f>
        <v>0</v>
      </c>
      <c r="C171" s="233">
        <v>8</v>
      </c>
      <c r="D171" s="96">
        <f t="shared" ref="D171:J171" si="41">$B$171*$C$171*B12*D136</f>
        <v>0</v>
      </c>
      <c r="E171" s="96">
        <f t="shared" si="41"/>
        <v>0</v>
      </c>
      <c r="F171" s="96">
        <f t="shared" si="41"/>
        <v>0</v>
      </c>
      <c r="G171" s="96">
        <f t="shared" si="41"/>
        <v>0</v>
      </c>
      <c r="H171" s="96">
        <f t="shared" si="41"/>
        <v>0</v>
      </c>
      <c r="I171" s="96">
        <f t="shared" si="41"/>
        <v>0</v>
      </c>
      <c r="J171" s="96">
        <f t="shared" si="41"/>
        <v>0</v>
      </c>
    </row>
    <row r="172" spans="1:10">
      <c r="A172" s="95" t="s">
        <v>299</v>
      </c>
      <c r="B172" s="95"/>
      <c r="C172" s="233">
        <v>10</v>
      </c>
      <c r="D172" s="96">
        <f t="shared" ref="D172:J172" si="42">((B35*100)/50)*$C$172*D136</f>
        <v>83963.894616000005</v>
      </c>
      <c r="E172" s="96">
        <f t="shared" si="42"/>
        <v>110202.61168349998</v>
      </c>
      <c r="F172" s="96">
        <f t="shared" si="42"/>
        <v>138855.29072121001</v>
      </c>
      <c r="G172" s="96">
        <f t="shared" si="42"/>
        <v>170097.73113348224</v>
      </c>
      <c r="H172" s="96">
        <f t="shared" si="42"/>
        <v>204117.27736017868</v>
      </c>
      <c r="I172" s="96">
        <f t="shared" si="42"/>
        <v>241113.53388171113</v>
      </c>
      <c r="J172" s="96">
        <f t="shared" si="42"/>
        <v>281299.12286199629</v>
      </c>
    </row>
    <row r="173" spans="1:10">
      <c r="A173" s="109" t="s">
        <v>300</v>
      </c>
      <c r="B173" s="109"/>
      <c r="C173" s="259">
        <v>20</v>
      </c>
      <c r="D173" s="96">
        <f t="shared" ref="D173:J173" si="43">(((B79+B70+B97+B64)*100)/50)*$C$173*D136</f>
        <v>48889.43136000001</v>
      </c>
      <c r="E173" s="96">
        <f t="shared" si="43"/>
        <v>60084.000017999992</v>
      </c>
      <c r="F173" s="96">
        <f t="shared" si="43"/>
        <v>75705.840022679986</v>
      </c>
      <c r="G173" s="96">
        <f t="shared" si="43"/>
        <v>92739.654027782992</v>
      </c>
      <c r="H173" s="96">
        <f t="shared" si="43"/>
        <v>111287.5848333396</v>
      </c>
      <c r="I173" s="96">
        <f t="shared" si="43"/>
        <v>131458.45958438245</v>
      </c>
      <c r="J173" s="96">
        <f t="shared" si="43"/>
        <v>153368.20284844618</v>
      </c>
    </row>
    <row r="174" spans="1:10">
      <c r="A174" s="95" t="s">
        <v>301</v>
      </c>
      <c r="B174" s="95"/>
      <c r="C174" s="233">
        <v>100</v>
      </c>
      <c r="D174" s="96">
        <f t="shared" ref="D174:J174" si="44">(((B79+B70+B97+B64)*100)/50)*$C$174*D136</f>
        <v>244447.15680000003</v>
      </c>
      <c r="E174" s="96">
        <f t="shared" si="44"/>
        <v>300420.00008999999</v>
      </c>
      <c r="F174" s="96">
        <f t="shared" si="44"/>
        <v>378529.20011339989</v>
      </c>
      <c r="G174" s="96">
        <f t="shared" si="44"/>
        <v>463698.27013891499</v>
      </c>
      <c r="H174" s="96">
        <f t="shared" si="44"/>
        <v>556437.92416669801</v>
      </c>
      <c r="I174" s="96">
        <f t="shared" si="44"/>
        <v>657292.29792191216</v>
      </c>
      <c r="J174" s="96">
        <f t="shared" si="44"/>
        <v>766841.0142422308</v>
      </c>
    </row>
    <row r="175" spans="1:10">
      <c r="A175" s="10"/>
      <c r="B175" s="10"/>
      <c r="C175" s="10"/>
      <c r="D175" s="10"/>
      <c r="E175" s="10"/>
      <c r="F175" s="10"/>
      <c r="G175" s="10"/>
      <c r="H175" s="10"/>
      <c r="I175" s="10"/>
      <c r="J175" s="10"/>
    </row>
    <row r="176" spans="1:10">
      <c r="A176" s="10"/>
      <c r="B176" s="10"/>
      <c r="C176" s="10"/>
      <c r="D176" s="10"/>
      <c r="E176" s="10"/>
      <c r="F176" s="10"/>
      <c r="G176" s="10"/>
      <c r="H176" s="10"/>
      <c r="I176" s="10"/>
      <c r="J176" s="10"/>
    </row>
    <row r="177" spans="1:10">
      <c r="A177" s="10"/>
      <c r="B177" s="10"/>
      <c r="C177" s="10"/>
      <c r="D177" s="10"/>
      <c r="E177" s="10"/>
      <c r="F177" s="10"/>
      <c r="G177" s="10"/>
      <c r="H177" s="10"/>
      <c r="I177" s="10"/>
      <c r="J177" s="10"/>
    </row>
    <row r="178" spans="1:10">
      <c r="A178" s="10"/>
      <c r="B178" s="10"/>
      <c r="C178" s="10"/>
      <c r="D178" s="10"/>
      <c r="E178" s="10"/>
      <c r="F178" s="10"/>
      <c r="G178" s="10"/>
      <c r="H178" s="10"/>
      <c r="I178" s="10"/>
      <c r="J178" s="10"/>
    </row>
    <row r="179" spans="1:10">
      <c r="A179" s="195" t="s">
        <v>348</v>
      </c>
      <c r="B179" s="96"/>
      <c r="C179" s="96"/>
      <c r="D179" s="96"/>
      <c r="E179" s="96">
        <f>'5.Closing Stock &amp; W Capital'!F8</f>
        <v>1104760.7536596749</v>
      </c>
      <c r="F179" s="96">
        <f>'5.Closing Stock &amp; W Capital'!G8</f>
        <v>1449794.3202462234</v>
      </c>
      <c r="G179" s="96">
        <f>'5.Closing Stock &amp; W Capital'!H8</f>
        <v>1826740.8435102415</v>
      </c>
      <c r="H179" s="96">
        <f>'5.Closing Stock &amp; W Capital'!I8</f>
        <v>2237757.5333000459</v>
      </c>
      <c r="I179" s="96">
        <f>'5.Closing Stock &amp; W Capital'!J8</f>
        <v>2685309.0399600551</v>
      </c>
      <c r="J179" s="96">
        <f>'5.Closing Stock &amp; W Capital'!K8</f>
        <v>3172021.3034528159</v>
      </c>
    </row>
    <row r="180" spans="1:10">
      <c r="A180" s="195" t="s">
        <v>349</v>
      </c>
      <c r="B180" s="96"/>
      <c r="C180" s="96"/>
      <c r="D180" s="96">
        <f>'5.Closing Stock &amp; W Capital'!E17</f>
        <v>1104760.7536596749</v>
      </c>
      <c r="E180" s="96">
        <f>'5.Closing Stock &amp; W Capital'!F17</f>
        <v>1449794.3202462234</v>
      </c>
      <c r="F180" s="96">
        <f>'5.Closing Stock &amp; W Capital'!G17</f>
        <v>1826740.8435102415</v>
      </c>
      <c r="G180" s="96">
        <f>'5.Closing Stock &amp; W Capital'!H17</f>
        <v>2237757.5333000459</v>
      </c>
      <c r="H180" s="96">
        <f>'5.Closing Stock &amp; W Capital'!I17</f>
        <v>2685309.0399600551</v>
      </c>
      <c r="I180" s="96">
        <f>'5.Closing Stock &amp; W Capital'!J17</f>
        <v>3172021.3034528159</v>
      </c>
      <c r="J180" s="96">
        <f>'5.Closing Stock &amp; W Capital'!K17</f>
        <v>3700691.520694952</v>
      </c>
    </row>
    <row r="181" spans="1:10">
      <c r="A181" s="96"/>
      <c r="B181" s="96"/>
      <c r="C181" s="96"/>
      <c r="D181" s="96"/>
      <c r="E181" s="96"/>
      <c r="F181" s="96"/>
      <c r="G181" s="96"/>
      <c r="H181" s="96"/>
      <c r="I181" s="96"/>
      <c r="J181" s="96"/>
    </row>
    <row r="182" spans="1:10">
      <c r="A182" s="115" t="s">
        <v>326</v>
      </c>
      <c r="B182" s="96"/>
      <c r="C182" s="96"/>
      <c r="D182" s="115">
        <f>SUM(D159:D179)-D180</f>
        <v>21234901.476333827</v>
      </c>
      <c r="E182" s="115">
        <f>SUM(E159:E179)-E180</f>
        <v>28951272.83842792</v>
      </c>
      <c r="F182" s="115">
        <f t="shared" ref="F182:J182" si="45">SUM(F159:F179)-F180</f>
        <v>36536399.547054216</v>
      </c>
      <c r="G182" s="115">
        <f t="shared" si="45"/>
        <v>44807832.24635002</v>
      </c>
      <c r="H182" s="115">
        <f t="shared" si="45"/>
        <v>53815067.216707781</v>
      </c>
      <c r="I182" s="115">
        <f t="shared" si="45"/>
        <v>63611006.103485465</v>
      </c>
      <c r="J182" s="115">
        <f t="shared" si="45"/>
        <v>74252001.21089913</v>
      </c>
    </row>
    <row r="183" spans="1:10">
      <c r="A183" s="94"/>
      <c r="B183" s="94"/>
      <c r="C183" s="94"/>
      <c r="D183" s="94"/>
      <c r="E183" s="94"/>
      <c r="F183" s="94"/>
      <c r="G183" s="94"/>
      <c r="H183" s="94"/>
      <c r="I183" s="94"/>
      <c r="J183" s="94"/>
    </row>
    <row r="184" spans="1:10">
      <c r="A184" s="196" t="s">
        <v>314</v>
      </c>
      <c r="B184" s="196"/>
      <c r="C184" s="196"/>
      <c r="D184" s="115"/>
      <c r="E184" s="115"/>
      <c r="F184" s="115"/>
      <c r="G184" s="115"/>
      <c r="H184" s="115"/>
      <c r="I184" s="115"/>
      <c r="J184" s="115"/>
    </row>
    <row r="185" spans="1:10">
      <c r="A185" s="95" t="s">
        <v>190</v>
      </c>
      <c r="B185" s="233">
        <v>1</v>
      </c>
      <c r="C185" s="257">
        <v>20000</v>
      </c>
      <c r="D185" s="96">
        <f t="shared" ref="D185:J185" si="46">$B$185*$C$185*12*D136</f>
        <v>240000</v>
      </c>
      <c r="E185" s="96">
        <f t="shared" si="46"/>
        <v>252000</v>
      </c>
      <c r="F185" s="96">
        <f t="shared" si="46"/>
        <v>264600</v>
      </c>
      <c r="G185" s="96">
        <f t="shared" si="46"/>
        <v>277830.00000000006</v>
      </c>
      <c r="H185" s="96">
        <f t="shared" si="46"/>
        <v>291721.50000000006</v>
      </c>
      <c r="I185" s="96">
        <f t="shared" si="46"/>
        <v>306307.57500000007</v>
      </c>
      <c r="J185" s="96">
        <f t="shared" si="46"/>
        <v>321622.9537500001</v>
      </c>
    </row>
    <row r="186" spans="1:10">
      <c r="A186" s="95"/>
      <c r="B186" s="233"/>
      <c r="C186" s="257"/>
      <c r="D186" s="96"/>
      <c r="E186" s="96"/>
      <c r="F186" s="96"/>
      <c r="G186" s="96"/>
      <c r="H186" s="96"/>
      <c r="I186" s="96"/>
      <c r="J186" s="96"/>
    </row>
    <row r="187" spans="1:10">
      <c r="A187" s="95"/>
      <c r="B187" s="233"/>
      <c r="C187" s="257"/>
      <c r="D187" s="96"/>
      <c r="E187" s="96"/>
      <c r="F187" s="96"/>
      <c r="G187" s="96"/>
      <c r="H187" s="96"/>
      <c r="I187" s="96"/>
      <c r="J187" s="96"/>
    </row>
    <row r="188" spans="1:10">
      <c r="A188" s="95"/>
      <c r="B188" s="233"/>
      <c r="C188" s="257"/>
      <c r="D188" s="96"/>
      <c r="E188" s="96"/>
      <c r="F188" s="96"/>
      <c r="G188" s="96"/>
      <c r="H188" s="96"/>
      <c r="I188" s="96"/>
      <c r="J188" s="96"/>
    </row>
    <row r="189" spans="1:10">
      <c r="A189" s="95"/>
      <c r="B189" s="233"/>
      <c r="C189" s="257"/>
      <c r="D189" s="96"/>
      <c r="E189" s="96"/>
      <c r="F189" s="96"/>
      <c r="G189" s="96"/>
      <c r="H189" s="96"/>
      <c r="I189" s="96"/>
      <c r="J189" s="96"/>
    </row>
    <row r="190" spans="1:10">
      <c r="A190" s="97" t="s">
        <v>314</v>
      </c>
      <c r="B190" s="97"/>
      <c r="C190" s="97"/>
      <c r="D190" s="115">
        <f t="shared" ref="D190:J190" si="47">SUM(D185:D189)</f>
        <v>240000</v>
      </c>
      <c r="E190" s="115">
        <f t="shared" si="47"/>
        <v>252000</v>
      </c>
      <c r="F190" s="115">
        <f t="shared" si="47"/>
        <v>264600</v>
      </c>
      <c r="G190" s="115">
        <f t="shared" si="47"/>
        <v>277830.00000000006</v>
      </c>
      <c r="H190" s="115">
        <f t="shared" si="47"/>
        <v>291721.50000000006</v>
      </c>
      <c r="I190" s="115">
        <f t="shared" si="47"/>
        <v>306307.57500000007</v>
      </c>
      <c r="J190" s="115">
        <f t="shared" si="47"/>
        <v>321622.9537500001</v>
      </c>
    </row>
    <row r="191" spans="1:10">
      <c r="A191" s="196" t="s">
        <v>302</v>
      </c>
      <c r="B191" s="196"/>
      <c r="C191" s="196"/>
      <c r="D191" s="115">
        <f t="shared" ref="D191:J191" si="48">D182+D190</f>
        <v>21474901.476333827</v>
      </c>
      <c r="E191" s="115">
        <f t="shared" si="48"/>
        <v>29203272.83842792</v>
      </c>
      <c r="F191" s="115">
        <f t="shared" si="48"/>
        <v>36800999.547054216</v>
      </c>
      <c r="G191" s="115">
        <f t="shared" si="48"/>
        <v>45085662.24635002</v>
      </c>
      <c r="H191" s="115">
        <f t="shared" si="48"/>
        <v>54106788.716707781</v>
      </c>
      <c r="I191" s="115">
        <f t="shared" si="48"/>
        <v>63917313.678485468</v>
      </c>
      <c r="J191" s="115">
        <f t="shared" si="48"/>
        <v>74573624.164649129</v>
      </c>
    </row>
    <row r="192" spans="1:10">
      <c r="A192" s="95"/>
      <c r="B192" s="95"/>
      <c r="C192" s="95"/>
      <c r="D192" s="96"/>
      <c r="E192" s="96"/>
      <c r="F192" s="96"/>
      <c r="G192" s="96"/>
      <c r="H192" s="96"/>
      <c r="I192" s="96"/>
      <c r="J192" s="96"/>
    </row>
    <row r="193" spans="1:10">
      <c r="A193" s="97" t="s">
        <v>7</v>
      </c>
      <c r="B193" s="97"/>
      <c r="C193" s="97"/>
      <c r="D193" s="115">
        <f t="shared" ref="D193:J193" si="49">D155-D191</f>
        <v>6228368.8787061721</v>
      </c>
      <c r="E193" s="115">
        <f t="shared" si="49"/>
        <v>7184005.9103370793</v>
      </c>
      <c r="F193" s="115">
        <f t="shared" si="49"/>
        <v>9046971.6763896793</v>
      </c>
      <c r="G193" s="115">
        <f t="shared" si="49"/>
        <v>11078102.502368756</v>
      </c>
      <c r="H193" s="115">
        <f t="shared" si="49"/>
        <v>13289728.981754765</v>
      </c>
      <c r="I193" s="115">
        <f t="shared" si="49"/>
        <v>15694822.852823406</v>
      </c>
      <c r="J193" s="115">
        <f t="shared" si="49"/>
        <v>18307201.788544565</v>
      </c>
    </row>
    <row r="194" spans="1:10">
      <c r="A194" s="116"/>
      <c r="B194" s="116"/>
      <c r="C194" s="116"/>
      <c r="D194" s="94"/>
      <c r="E194" s="94"/>
      <c r="F194" s="94"/>
      <c r="G194" s="94"/>
      <c r="H194" s="94"/>
      <c r="I194" s="94"/>
      <c r="J194" s="94"/>
    </row>
    <row r="195" spans="1:10" hidden="1">
      <c r="A195" s="94"/>
      <c r="B195" s="94"/>
      <c r="C195" s="94"/>
      <c r="D195" s="94"/>
      <c r="E195" s="94"/>
      <c r="F195" s="94"/>
      <c r="G195" s="94"/>
      <c r="H195" s="94"/>
      <c r="I195" s="94"/>
      <c r="J195" s="94"/>
    </row>
    <row r="196" spans="1:10">
      <c r="A196" s="94"/>
      <c r="B196" s="94"/>
      <c r="C196" s="94"/>
      <c r="D196" s="94"/>
      <c r="E196" s="94"/>
      <c r="F196" s="94"/>
      <c r="G196" s="94"/>
      <c r="H196" s="94"/>
      <c r="I196" s="94"/>
      <c r="J196" s="94"/>
    </row>
    <row r="197" spans="1:10">
      <c r="A197" s="418" t="s">
        <v>432</v>
      </c>
      <c r="B197" s="418"/>
      <c r="C197" s="418"/>
      <c r="D197" s="418"/>
      <c r="E197" s="418"/>
      <c r="F197" s="418"/>
      <c r="G197" s="418"/>
      <c r="H197" s="418"/>
      <c r="I197" s="418"/>
      <c r="J197" s="418"/>
    </row>
    <row r="199" spans="1:10">
      <c r="A199" t="s">
        <v>546</v>
      </c>
    </row>
    <row r="200" spans="1:10">
      <c r="A200">
        <v>1</v>
      </c>
      <c r="B200" t="s">
        <v>559</v>
      </c>
    </row>
    <row r="201" spans="1:10">
      <c r="A201">
        <v>2</v>
      </c>
      <c r="B201" t="s">
        <v>560</v>
      </c>
    </row>
    <row r="202" spans="1:10">
      <c r="A202">
        <v>3</v>
      </c>
      <c r="B202" s="94" t="s">
        <v>610</v>
      </c>
    </row>
  </sheetData>
  <mergeCells count="4">
    <mergeCell ref="A134:J134"/>
    <mergeCell ref="A3:H3"/>
    <mergeCell ref="A197:J197"/>
    <mergeCell ref="A4:H4"/>
  </mergeCells>
  <pageMargins left="0.7" right="0.7" top="0.75" bottom="0.75" header="0.3" footer="0.3"/>
  <pageSetup paperSize="9" scale="72" orientation="landscape" r:id="rId1"/>
  <colBreaks count="1" manualBreakCount="1">
    <brk id="10" min="2" max="5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56"/>
  <sheetViews>
    <sheetView view="pageBreakPreview" topLeftCell="A58" zoomScale="80" zoomScaleSheetLayoutView="80" workbookViewId="0">
      <selection activeCell="G71" sqref="G71"/>
    </sheetView>
  </sheetViews>
  <sheetFormatPr defaultRowHeight="15"/>
  <cols>
    <col min="1" max="1" width="30.42578125" bestFit="1" customWidth="1"/>
    <col min="2" max="2" width="12" customWidth="1"/>
    <col min="3" max="3" width="11.140625" customWidth="1"/>
    <col min="4" max="4" width="11.28515625" customWidth="1"/>
    <col min="5" max="5" width="12.28515625" customWidth="1"/>
    <col min="6" max="6" width="12.7109375" customWidth="1"/>
    <col min="7" max="9" width="12.28515625" customWidth="1"/>
    <col min="10" max="10" width="13" customWidth="1"/>
  </cols>
  <sheetData>
    <row r="2" spans="1:10" ht="18.75">
      <c r="A2" s="483" t="s">
        <v>597</v>
      </c>
      <c r="B2" s="483"/>
      <c r="C2" s="483"/>
      <c r="D2" s="483"/>
      <c r="E2" s="483"/>
      <c r="F2" s="483"/>
      <c r="G2" s="483"/>
      <c r="H2" s="483"/>
    </row>
    <row r="3" spans="1:10" ht="18.75">
      <c r="A3" s="483" t="s">
        <v>598</v>
      </c>
      <c r="B3" s="483"/>
      <c r="C3" s="483"/>
      <c r="D3" s="483"/>
      <c r="E3" s="483"/>
      <c r="F3" s="483"/>
      <c r="G3" s="483"/>
      <c r="H3" s="483"/>
    </row>
    <row r="4" spans="1:10">
      <c r="A4" s="187" t="s">
        <v>163</v>
      </c>
      <c r="B4" s="262">
        <v>1800</v>
      </c>
      <c r="C4" s="185" t="s">
        <v>303</v>
      </c>
      <c r="D4" s="185"/>
      <c r="E4" s="185"/>
      <c r="F4" s="185"/>
      <c r="G4" s="186"/>
      <c r="H4" s="94"/>
    </row>
    <row r="5" spans="1:10">
      <c r="A5" s="187"/>
      <c r="B5" s="188"/>
      <c r="C5" s="186"/>
      <c r="D5" s="186"/>
      <c r="E5" s="186"/>
      <c r="F5" s="186"/>
      <c r="G5" s="186"/>
      <c r="H5" s="94"/>
    </row>
    <row r="6" spans="1:10">
      <c r="A6" s="187" t="s">
        <v>305</v>
      </c>
      <c r="B6" s="189">
        <v>12</v>
      </c>
      <c r="C6" s="186"/>
      <c r="D6" s="189"/>
      <c r="E6" s="189"/>
      <c r="F6" s="186"/>
      <c r="G6" s="186"/>
      <c r="H6" s="94"/>
    </row>
    <row r="7" spans="1:10">
      <c r="A7" s="187"/>
      <c r="B7" s="94"/>
      <c r="C7" s="189"/>
      <c r="D7" s="189"/>
      <c r="E7" s="189"/>
      <c r="F7" s="186"/>
      <c r="G7" s="186"/>
      <c r="H7" s="94"/>
    </row>
    <row r="8" spans="1:10">
      <c r="A8" s="148" t="s">
        <v>128</v>
      </c>
      <c r="B8" s="120" t="s">
        <v>2</v>
      </c>
      <c r="C8" s="120" t="s">
        <v>3</v>
      </c>
      <c r="D8" s="120" t="s">
        <v>4</v>
      </c>
      <c r="E8" s="120" t="s">
        <v>5</v>
      </c>
      <c r="F8" s="120" t="s">
        <v>6</v>
      </c>
      <c r="G8" s="120" t="s">
        <v>171</v>
      </c>
      <c r="H8" s="120" t="s">
        <v>170</v>
      </c>
    </row>
    <row r="9" spans="1:10">
      <c r="A9" s="95" t="s">
        <v>306</v>
      </c>
      <c r="B9" s="282">
        <v>0.7</v>
      </c>
      <c r="C9" s="282">
        <f>B9+5%</f>
        <v>0.75</v>
      </c>
      <c r="D9" s="282">
        <f>C9+5%</f>
        <v>0.8</v>
      </c>
      <c r="E9" s="282">
        <f>D9+5%</f>
        <v>0.85000000000000009</v>
      </c>
      <c r="F9" s="282">
        <f>E9+5%</f>
        <v>0.90000000000000013</v>
      </c>
      <c r="G9" s="282">
        <f>F9</f>
        <v>0.90000000000000013</v>
      </c>
      <c r="H9" s="282">
        <f>G9</f>
        <v>0.90000000000000013</v>
      </c>
    </row>
    <row r="10" spans="1:10">
      <c r="A10" s="97" t="s">
        <v>327</v>
      </c>
      <c r="B10" s="191">
        <f t="shared" ref="B10:H10" si="0">$B$4*B9*$B$6</f>
        <v>15120</v>
      </c>
      <c r="C10" s="191">
        <f t="shared" si="0"/>
        <v>16200</v>
      </c>
      <c r="D10" s="191">
        <f t="shared" si="0"/>
        <v>17280</v>
      </c>
      <c r="E10" s="191">
        <f t="shared" si="0"/>
        <v>18360.000000000004</v>
      </c>
      <c r="F10" s="191">
        <f t="shared" si="0"/>
        <v>19440.000000000004</v>
      </c>
      <c r="G10" s="191">
        <f t="shared" si="0"/>
        <v>19440.000000000004</v>
      </c>
      <c r="H10" s="191">
        <f t="shared" si="0"/>
        <v>19440.000000000004</v>
      </c>
    </row>
    <row r="15" spans="1:10" ht="18.75">
      <c r="A15" s="417" t="s">
        <v>599</v>
      </c>
      <c r="B15" s="417"/>
      <c r="C15" s="417"/>
      <c r="D15" s="417"/>
      <c r="E15" s="417"/>
      <c r="F15" s="417"/>
      <c r="G15" s="417"/>
      <c r="H15" s="417"/>
      <c r="I15" s="417"/>
      <c r="J15" s="417"/>
    </row>
    <row r="16" spans="1:10">
      <c r="A16" s="14"/>
      <c r="B16" s="62"/>
      <c r="C16" s="30"/>
      <c r="D16" s="14"/>
      <c r="E16" s="14"/>
      <c r="F16" s="14"/>
      <c r="G16" s="14"/>
      <c r="H16" s="14"/>
    </row>
    <row r="17" spans="1:10">
      <c r="A17" s="94"/>
      <c r="B17" s="94"/>
      <c r="C17" s="94"/>
      <c r="D17" s="179">
        <v>1</v>
      </c>
      <c r="E17" s="184">
        <f>(D17*5%)+D17</f>
        <v>1.05</v>
      </c>
      <c r="F17" s="184">
        <f t="shared" ref="F17:J17" si="1">(E17*5%)+E17</f>
        <v>1.1025</v>
      </c>
      <c r="G17" s="184">
        <f t="shared" si="1"/>
        <v>1.1576250000000001</v>
      </c>
      <c r="H17" s="184">
        <f t="shared" si="1"/>
        <v>1.2155062500000002</v>
      </c>
      <c r="I17" s="184">
        <f t="shared" si="1"/>
        <v>1.2762815625000004</v>
      </c>
      <c r="J17" s="184">
        <f t="shared" si="1"/>
        <v>1.3400956406250004</v>
      </c>
    </row>
    <row r="18" spans="1:10">
      <c r="A18" s="148" t="s">
        <v>0</v>
      </c>
      <c r="B18" s="148" t="s">
        <v>133</v>
      </c>
      <c r="C18" s="148" t="s">
        <v>154</v>
      </c>
      <c r="D18" s="120" t="s">
        <v>2</v>
      </c>
      <c r="E18" s="120" t="s">
        <v>3</v>
      </c>
      <c r="F18" s="120" t="s">
        <v>4</v>
      </c>
      <c r="G18" s="120" t="s">
        <v>5</v>
      </c>
      <c r="H18" s="120" t="s">
        <v>6</v>
      </c>
      <c r="I18" s="120" t="s">
        <v>171</v>
      </c>
      <c r="J18" s="120" t="s">
        <v>170</v>
      </c>
    </row>
    <row r="19" spans="1:10">
      <c r="A19" s="95"/>
      <c r="B19" s="95"/>
      <c r="C19" s="95"/>
      <c r="D19" s="95"/>
      <c r="E19" s="95"/>
      <c r="F19" s="95"/>
      <c r="G19" s="95"/>
      <c r="H19" s="95"/>
      <c r="I19" s="95"/>
      <c r="J19" s="95"/>
    </row>
    <row r="20" spans="1:10">
      <c r="A20" s="97" t="s">
        <v>179</v>
      </c>
      <c r="B20" s="97"/>
      <c r="C20" s="97"/>
      <c r="D20" s="95"/>
      <c r="E20" s="95"/>
      <c r="F20" s="95"/>
      <c r="G20" s="95"/>
      <c r="H20" s="95"/>
      <c r="I20" s="95"/>
      <c r="J20" s="95"/>
    </row>
    <row r="21" spans="1:10">
      <c r="A21" s="95" t="s">
        <v>329</v>
      </c>
      <c r="B21" s="95"/>
      <c r="C21" s="257">
        <v>90</v>
      </c>
      <c r="D21" s="96">
        <f t="shared" ref="D21:J21" si="2">B10*$C$21*D17</f>
        <v>1360800</v>
      </c>
      <c r="E21" s="96">
        <f t="shared" si="2"/>
        <v>1530900</v>
      </c>
      <c r="F21" s="96">
        <f t="shared" si="2"/>
        <v>1714608</v>
      </c>
      <c r="G21" s="96">
        <f t="shared" si="2"/>
        <v>1912859.5500000005</v>
      </c>
      <c r="H21" s="96">
        <f t="shared" si="2"/>
        <v>2126649.7350000008</v>
      </c>
      <c r="I21" s="96">
        <f t="shared" si="2"/>
        <v>2232982.221750001</v>
      </c>
      <c r="J21" s="96">
        <f t="shared" si="2"/>
        <v>2344631.3328375011</v>
      </c>
    </row>
    <row r="22" spans="1:10">
      <c r="A22" s="95"/>
      <c r="B22" s="95"/>
      <c r="C22" s="96"/>
      <c r="D22" s="96"/>
      <c r="E22" s="96"/>
      <c r="F22" s="96"/>
      <c r="G22" s="96"/>
      <c r="H22" s="96"/>
      <c r="I22" s="96"/>
      <c r="J22" s="96"/>
    </row>
    <row r="23" spans="1:10">
      <c r="A23" s="97" t="s">
        <v>144</v>
      </c>
      <c r="B23" s="97"/>
      <c r="C23" s="115"/>
      <c r="D23" s="96">
        <f t="shared" ref="D23:J23" si="3">SUM(D21:D21)</f>
        <v>1360800</v>
      </c>
      <c r="E23" s="96">
        <f t="shared" si="3"/>
        <v>1530900</v>
      </c>
      <c r="F23" s="96">
        <f t="shared" si="3"/>
        <v>1714608</v>
      </c>
      <c r="G23" s="96">
        <f t="shared" si="3"/>
        <v>1912859.5500000005</v>
      </c>
      <c r="H23" s="96">
        <f t="shared" si="3"/>
        <v>2126649.7350000008</v>
      </c>
      <c r="I23" s="96">
        <f t="shared" si="3"/>
        <v>2232982.221750001</v>
      </c>
      <c r="J23" s="96">
        <f t="shared" si="3"/>
        <v>2344631.3328375011</v>
      </c>
    </row>
    <row r="24" spans="1:10">
      <c r="A24" s="95"/>
      <c r="B24" s="95"/>
      <c r="C24" s="96"/>
      <c r="D24" s="96"/>
      <c r="E24" s="96"/>
      <c r="F24" s="96"/>
      <c r="G24" s="96"/>
      <c r="H24" s="96"/>
      <c r="I24" s="96"/>
      <c r="J24" s="96"/>
    </row>
    <row r="25" spans="1:10">
      <c r="A25" s="97" t="s">
        <v>143</v>
      </c>
      <c r="B25" s="97"/>
      <c r="C25" s="96"/>
      <c r="D25" s="96"/>
      <c r="E25" s="96"/>
      <c r="F25" s="96"/>
      <c r="G25" s="96"/>
      <c r="H25" s="96"/>
      <c r="I25" s="96"/>
      <c r="J25" s="96"/>
    </row>
    <row r="26" spans="1:10">
      <c r="A26" s="97" t="s">
        <v>316</v>
      </c>
      <c r="B26" s="97"/>
      <c r="C26" s="96"/>
      <c r="D26" s="96"/>
      <c r="E26" s="96"/>
      <c r="F26" s="96"/>
      <c r="G26" s="96"/>
      <c r="H26" s="96"/>
      <c r="I26" s="96"/>
      <c r="J26" s="96"/>
    </row>
    <row r="27" spans="1:10">
      <c r="A27" s="95" t="s">
        <v>307</v>
      </c>
      <c r="B27" s="233" t="s">
        <v>303</v>
      </c>
      <c r="C27" s="257">
        <v>15</v>
      </c>
      <c r="D27" s="96">
        <f t="shared" ref="D27:J27" si="4">$B$4*$C$27*D17*4</f>
        <v>108000</v>
      </c>
      <c r="E27" s="96">
        <f t="shared" si="4"/>
        <v>113400</v>
      </c>
      <c r="F27" s="96">
        <f t="shared" si="4"/>
        <v>119070</v>
      </c>
      <c r="G27" s="96">
        <f t="shared" si="4"/>
        <v>125023.50000000001</v>
      </c>
      <c r="H27" s="96">
        <f t="shared" si="4"/>
        <v>131274.67500000002</v>
      </c>
      <c r="I27" s="96">
        <f t="shared" si="4"/>
        <v>137838.40875000003</v>
      </c>
      <c r="J27" s="96">
        <f t="shared" si="4"/>
        <v>144730.32918750006</v>
      </c>
    </row>
    <row r="28" spans="1:10">
      <c r="A28" s="95" t="s">
        <v>308</v>
      </c>
      <c r="B28" s="233" t="s">
        <v>303</v>
      </c>
      <c r="C28" s="257">
        <v>14</v>
      </c>
      <c r="D28" s="96">
        <f t="shared" ref="D28:J28" si="5">$B$4*$C$28*D17*12</f>
        <v>302400</v>
      </c>
      <c r="E28" s="96">
        <f t="shared" si="5"/>
        <v>317520</v>
      </c>
      <c r="F28" s="96">
        <f t="shared" si="5"/>
        <v>333396</v>
      </c>
      <c r="G28" s="96">
        <f t="shared" si="5"/>
        <v>350065.80000000005</v>
      </c>
      <c r="H28" s="96">
        <f t="shared" si="5"/>
        <v>367569.09000000008</v>
      </c>
      <c r="I28" s="96">
        <f t="shared" si="5"/>
        <v>385947.54450000008</v>
      </c>
      <c r="J28" s="96">
        <f t="shared" si="5"/>
        <v>405244.92172500014</v>
      </c>
    </row>
    <row r="29" spans="1:10">
      <c r="A29" s="95" t="s">
        <v>309</v>
      </c>
      <c r="B29" s="233"/>
      <c r="C29" s="257">
        <v>10000</v>
      </c>
      <c r="D29" s="96">
        <f>$C$29*12*D17</f>
        <v>120000</v>
      </c>
      <c r="E29" s="96">
        <f t="shared" ref="E29:J29" si="6">$C$29*12*E17</f>
        <v>126000</v>
      </c>
      <c r="F29" s="96">
        <f t="shared" si="6"/>
        <v>132300</v>
      </c>
      <c r="G29" s="96">
        <f t="shared" si="6"/>
        <v>138915.00000000003</v>
      </c>
      <c r="H29" s="96">
        <f t="shared" si="6"/>
        <v>145860.75000000003</v>
      </c>
      <c r="I29" s="96">
        <f t="shared" si="6"/>
        <v>153153.78750000003</v>
      </c>
      <c r="J29" s="96">
        <f t="shared" si="6"/>
        <v>160811.47687500005</v>
      </c>
    </row>
    <row r="30" spans="1:10">
      <c r="A30" s="95"/>
      <c r="B30" s="233"/>
      <c r="C30" s="257"/>
      <c r="D30" s="96"/>
      <c r="E30" s="96"/>
      <c r="F30" s="96"/>
      <c r="G30" s="96"/>
      <c r="H30" s="96"/>
      <c r="I30" s="96"/>
      <c r="J30" s="96"/>
    </row>
    <row r="31" spans="1:10">
      <c r="A31" s="95"/>
      <c r="B31" s="233"/>
      <c r="C31" s="257"/>
      <c r="D31" s="96"/>
      <c r="E31" s="96"/>
      <c r="F31" s="96"/>
      <c r="G31" s="96"/>
      <c r="H31" s="96"/>
      <c r="I31" s="96"/>
      <c r="J31" s="96"/>
    </row>
    <row r="32" spans="1:10">
      <c r="A32" s="95"/>
      <c r="B32" s="233"/>
      <c r="C32" s="257"/>
      <c r="D32" s="96"/>
      <c r="E32" s="96"/>
      <c r="F32" s="96"/>
      <c r="G32" s="96"/>
      <c r="H32" s="96"/>
      <c r="I32" s="96"/>
      <c r="J32" s="96"/>
    </row>
    <row r="33" spans="1:10">
      <c r="A33" s="95"/>
      <c r="B33" s="233"/>
      <c r="C33" s="257"/>
      <c r="D33" s="96"/>
      <c r="E33" s="96"/>
      <c r="F33" s="96"/>
      <c r="G33" s="96"/>
      <c r="H33" s="96"/>
      <c r="I33" s="96"/>
      <c r="J33" s="96"/>
    </row>
    <row r="34" spans="1:10">
      <c r="A34" s="97" t="s">
        <v>326</v>
      </c>
      <c r="B34" s="238"/>
      <c r="C34" s="261"/>
      <c r="D34" s="115">
        <f>SUM(D27:D33)</f>
        <v>530400</v>
      </c>
      <c r="E34" s="115">
        <f t="shared" ref="E34:J34" si="7">SUM(E27:E33)</f>
        <v>556920</v>
      </c>
      <c r="F34" s="115">
        <f t="shared" si="7"/>
        <v>584766</v>
      </c>
      <c r="G34" s="115">
        <f t="shared" si="7"/>
        <v>614004.30000000005</v>
      </c>
      <c r="H34" s="115">
        <f t="shared" si="7"/>
        <v>644704.51500000013</v>
      </c>
      <c r="I34" s="115">
        <f t="shared" si="7"/>
        <v>676939.74075000011</v>
      </c>
      <c r="J34" s="115">
        <f t="shared" si="7"/>
        <v>710786.72778750025</v>
      </c>
    </row>
    <row r="35" spans="1:10">
      <c r="A35" s="97"/>
      <c r="B35" s="238"/>
      <c r="C35" s="261"/>
      <c r="D35" s="115"/>
      <c r="E35" s="115"/>
      <c r="F35" s="115"/>
      <c r="G35" s="115"/>
      <c r="H35" s="115"/>
      <c r="I35" s="115"/>
      <c r="J35" s="115"/>
    </row>
    <row r="36" spans="1:10">
      <c r="A36" s="97" t="s">
        <v>314</v>
      </c>
      <c r="B36" s="233"/>
      <c r="C36" s="257"/>
      <c r="D36" s="96"/>
      <c r="E36" s="96"/>
      <c r="F36" s="96"/>
      <c r="G36" s="96"/>
      <c r="H36" s="96"/>
      <c r="I36" s="96"/>
      <c r="J36" s="96"/>
    </row>
    <row r="37" spans="1:10">
      <c r="A37" s="95" t="s">
        <v>328</v>
      </c>
      <c r="B37" s="233">
        <v>1</v>
      </c>
      <c r="C37" s="257">
        <v>25000</v>
      </c>
      <c r="D37" s="96">
        <f>$B$37*$C$37*D17*12</f>
        <v>300000</v>
      </c>
      <c r="E37" s="96">
        <f t="shared" ref="E37:J37" si="8">$B$37*$C$37*E17*12</f>
        <v>315000</v>
      </c>
      <c r="F37" s="96">
        <f t="shared" si="8"/>
        <v>330750</v>
      </c>
      <c r="G37" s="96">
        <f t="shared" si="8"/>
        <v>347287.50000000006</v>
      </c>
      <c r="H37" s="96">
        <f t="shared" si="8"/>
        <v>364651.87500000012</v>
      </c>
      <c r="I37" s="96">
        <f t="shared" si="8"/>
        <v>382884.46875000012</v>
      </c>
      <c r="J37" s="96">
        <f t="shared" si="8"/>
        <v>402028.69218750019</v>
      </c>
    </row>
    <row r="38" spans="1:10">
      <c r="A38" s="95"/>
      <c r="B38" s="233"/>
      <c r="C38" s="257"/>
      <c r="D38" s="96"/>
      <c r="E38" s="96"/>
      <c r="F38" s="96"/>
      <c r="G38" s="96"/>
      <c r="H38" s="96"/>
      <c r="I38" s="96"/>
      <c r="J38" s="96"/>
    </row>
    <row r="39" spans="1:10">
      <c r="A39" s="95"/>
      <c r="B39" s="233"/>
      <c r="C39" s="257"/>
      <c r="D39" s="96"/>
      <c r="E39" s="96"/>
      <c r="F39" s="96"/>
      <c r="G39" s="96"/>
      <c r="H39" s="96"/>
      <c r="I39" s="96"/>
      <c r="J39" s="96"/>
    </row>
    <row r="40" spans="1:10">
      <c r="A40" s="95"/>
      <c r="B40" s="233"/>
      <c r="C40" s="257"/>
      <c r="D40" s="96"/>
      <c r="E40" s="96"/>
      <c r="F40" s="96"/>
      <c r="G40" s="96"/>
      <c r="H40" s="96"/>
      <c r="I40" s="96"/>
      <c r="J40" s="96"/>
    </row>
    <row r="41" spans="1:10">
      <c r="A41" s="95"/>
      <c r="B41" s="233"/>
      <c r="C41" s="257"/>
      <c r="D41" s="96"/>
      <c r="E41" s="96"/>
      <c r="F41" s="96"/>
      <c r="G41" s="96"/>
      <c r="H41" s="96"/>
      <c r="I41" s="96"/>
      <c r="J41" s="96"/>
    </row>
    <row r="42" spans="1:10">
      <c r="A42" s="95"/>
      <c r="B42" s="233"/>
      <c r="C42" s="257"/>
      <c r="D42" s="96"/>
      <c r="E42" s="96"/>
      <c r="F42" s="96"/>
      <c r="G42" s="96"/>
      <c r="H42" s="96"/>
      <c r="I42" s="96"/>
      <c r="J42" s="96"/>
    </row>
    <row r="43" spans="1:10">
      <c r="A43" s="97" t="s">
        <v>330</v>
      </c>
      <c r="B43" s="97"/>
      <c r="C43" s="115"/>
      <c r="D43" s="115">
        <f>SUM(D37:D42)</f>
        <v>300000</v>
      </c>
      <c r="E43" s="115">
        <f t="shared" ref="E43:J43" si="9">SUM(E37:E42)</f>
        <v>315000</v>
      </c>
      <c r="F43" s="115">
        <f t="shared" si="9"/>
        <v>330750</v>
      </c>
      <c r="G43" s="115">
        <f t="shared" si="9"/>
        <v>347287.50000000006</v>
      </c>
      <c r="H43" s="115">
        <f t="shared" si="9"/>
        <v>364651.87500000012</v>
      </c>
      <c r="I43" s="115">
        <f t="shared" si="9"/>
        <v>382884.46875000012</v>
      </c>
      <c r="J43" s="115">
        <f t="shared" si="9"/>
        <v>402028.69218750019</v>
      </c>
    </row>
    <row r="44" spans="1:10">
      <c r="A44" s="97"/>
      <c r="B44" s="97"/>
      <c r="C44" s="115"/>
      <c r="D44" s="115"/>
      <c r="E44" s="115"/>
      <c r="F44" s="115"/>
      <c r="G44" s="115"/>
      <c r="H44" s="115"/>
      <c r="I44" s="115"/>
      <c r="J44" s="115"/>
    </row>
    <row r="45" spans="1:10">
      <c r="A45" s="97" t="s">
        <v>130</v>
      </c>
      <c r="B45" s="97"/>
      <c r="C45" s="115"/>
      <c r="D45" s="115">
        <f>D34+D43</f>
        <v>830400</v>
      </c>
      <c r="E45" s="115">
        <f t="shared" ref="E45:J45" si="10">E34+E43</f>
        <v>871920</v>
      </c>
      <c r="F45" s="115">
        <f t="shared" si="10"/>
        <v>915516</v>
      </c>
      <c r="G45" s="115">
        <f t="shared" si="10"/>
        <v>961291.8</v>
      </c>
      <c r="H45" s="115">
        <f t="shared" si="10"/>
        <v>1009356.3900000002</v>
      </c>
      <c r="I45" s="115">
        <f t="shared" si="10"/>
        <v>1059824.2095000003</v>
      </c>
      <c r="J45" s="115">
        <f t="shared" si="10"/>
        <v>1112815.4199750004</v>
      </c>
    </row>
    <row r="46" spans="1:10">
      <c r="A46" s="95"/>
      <c r="B46" s="95"/>
      <c r="C46" s="96"/>
      <c r="D46" s="96"/>
      <c r="E46" s="96"/>
      <c r="F46" s="96"/>
      <c r="G46" s="96"/>
      <c r="H46" s="96"/>
      <c r="I46" s="96"/>
      <c r="J46" s="96"/>
    </row>
    <row r="47" spans="1:10">
      <c r="A47" s="97" t="s">
        <v>129</v>
      </c>
      <c r="B47" s="97"/>
      <c r="C47" s="115"/>
      <c r="D47" s="115">
        <f t="shared" ref="D47:J47" si="11">D23-D45</f>
        <v>530400</v>
      </c>
      <c r="E47" s="115">
        <f t="shared" si="11"/>
        <v>658980</v>
      </c>
      <c r="F47" s="115">
        <f t="shared" si="11"/>
        <v>799092</v>
      </c>
      <c r="G47" s="115">
        <f t="shared" si="11"/>
        <v>951567.75000000047</v>
      </c>
      <c r="H47" s="115">
        <f t="shared" si="11"/>
        <v>1117293.3450000007</v>
      </c>
      <c r="I47" s="115">
        <f t="shared" si="11"/>
        <v>1173158.0122500006</v>
      </c>
      <c r="J47" s="115">
        <f t="shared" si="11"/>
        <v>1231815.9128625006</v>
      </c>
    </row>
    <row r="48" spans="1:10">
      <c r="A48" s="94"/>
      <c r="B48" s="94"/>
      <c r="C48" s="94"/>
      <c r="D48" s="94"/>
      <c r="E48" s="94"/>
      <c r="F48" s="94"/>
      <c r="G48" s="94"/>
      <c r="H48" s="94"/>
      <c r="I48" s="94"/>
      <c r="J48" s="94"/>
    </row>
    <row r="49" spans="1:10">
      <c r="A49" s="94"/>
    </row>
    <row r="51" spans="1:10">
      <c r="A51" s="418" t="s">
        <v>432</v>
      </c>
      <c r="B51" s="418"/>
      <c r="C51" s="418"/>
      <c r="D51" s="418"/>
      <c r="E51" s="418"/>
      <c r="F51" s="418"/>
      <c r="G51" s="418"/>
      <c r="H51" s="418"/>
      <c r="I51" s="418"/>
      <c r="J51" s="418"/>
    </row>
    <row r="53" spans="1:10">
      <c r="A53" t="s">
        <v>546</v>
      </c>
    </row>
    <row r="54" spans="1:10">
      <c r="A54">
        <v>1</v>
      </c>
      <c r="B54" t="s">
        <v>559</v>
      </c>
    </row>
    <row r="55" spans="1:10">
      <c r="A55">
        <v>2</v>
      </c>
      <c r="B55" t="s">
        <v>560</v>
      </c>
    </row>
    <row r="56" spans="1:10">
      <c r="A56">
        <v>3</v>
      </c>
      <c r="B56" s="94" t="s">
        <v>610</v>
      </c>
    </row>
  </sheetData>
  <mergeCells count="4">
    <mergeCell ref="A15:J15"/>
    <mergeCell ref="A2:H2"/>
    <mergeCell ref="A51:J51"/>
    <mergeCell ref="A3:H3"/>
  </mergeCells>
  <pageMargins left="0.7" right="0.7" top="0.75" bottom="0.75" header="0.3" footer="0.3"/>
  <pageSetup paperSize="9" scale="85" orientation="landscape" r:id="rId1"/>
  <colBreaks count="1" manualBreakCount="1">
    <brk id="10"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68"/>
  <sheetViews>
    <sheetView view="pageBreakPreview" zoomScale="55" zoomScaleSheetLayoutView="55" workbookViewId="0"/>
  </sheetViews>
  <sheetFormatPr defaultRowHeight="15"/>
  <cols>
    <col min="1" max="2" width="29.42578125" customWidth="1"/>
    <col min="3" max="3" width="12.140625" customWidth="1"/>
    <col min="4" max="4" width="10.42578125" bestFit="1" customWidth="1"/>
    <col min="5" max="5" width="13.42578125" customWidth="1"/>
    <col min="6" max="6" width="14" customWidth="1"/>
    <col min="7" max="7" width="13.42578125" customWidth="1"/>
    <col min="8" max="9" width="14" customWidth="1"/>
    <col min="10" max="11" width="14.42578125" customWidth="1"/>
    <col min="12" max="12" width="12.140625" customWidth="1"/>
    <col min="13" max="13" width="16" customWidth="1"/>
    <col min="14" max="14" width="23.28515625" customWidth="1"/>
    <col min="18" max="18" width="12.7109375" bestFit="1" customWidth="1"/>
  </cols>
  <sheetData>
    <row r="3" spans="1:13" ht="18.75">
      <c r="A3" s="417" t="s">
        <v>600</v>
      </c>
      <c r="B3" s="417"/>
      <c r="C3" s="417"/>
      <c r="D3" s="417"/>
      <c r="E3" s="417"/>
      <c r="F3" s="417"/>
      <c r="G3" s="417"/>
      <c r="H3" s="417"/>
      <c r="I3" s="417"/>
      <c r="J3" s="417"/>
      <c r="K3" s="417"/>
      <c r="L3" s="417"/>
    </row>
    <row r="4" spans="1:13" ht="18.75">
      <c r="A4" s="417" t="s">
        <v>601</v>
      </c>
      <c r="B4" s="417"/>
      <c r="C4" s="417"/>
      <c r="D4" s="417"/>
      <c r="E4" s="417"/>
      <c r="F4" s="417"/>
      <c r="G4" s="417"/>
      <c r="H4" s="417"/>
      <c r="I4" s="417"/>
      <c r="J4" s="417"/>
      <c r="K4" s="417"/>
      <c r="L4" s="417"/>
    </row>
    <row r="5" spans="1:13">
      <c r="A5" s="94"/>
      <c r="B5" s="94"/>
      <c r="C5" s="94"/>
    </row>
    <row r="6" spans="1:13">
      <c r="A6" s="94"/>
      <c r="B6" s="94"/>
      <c r="C6" s="94"/>
    </row>
    <row r="7" spans="1:13" ht="45">
      <c r="A7" s="293" t="s">
        <v>146</v>
      </c>
      <c r="B7" s="294" t="s">
        <v>440</v>
      </c>
      <c r="C7" s="294" t="s">
        <v>443</v>
      </c>
      <c r="D7" s="294" t="s">
        <v>441</v>
      </c>
      <c r="E7" s="294" t="s">
        <v>442</v>
      </c>
      <c r="F7" s="294" t="s">
        <v>310</v>
      </c>
      <c r="G7" s="294" t="s">
        <v>444</v>
      </c>
      <c r="H7" s="294" t="s">
        <v>445</v>
      </c>
      <c r="I7" s="294" t="s">
        <v>446</v>
      </c>
      <c r="J7" s="296" t="s">
        <v>449</v>
      </c>
      <c r="K7" s="294" t="s">
        <v>447</v>
      </c>
      <c r="L7" s="296" t="s">
        <v>448</v>
      </c>
      <c r="M7" s="294" t="s">
        <v>451</v>
      </c>
    </row>
    <row r="8" spans="1:13">
      <c r="A8" s="295">
        <v>1</v>
      </c>
      <c r="B8" s="289"/>
      <c r="C8" s="289"/>
      <c r="D8" s="289"/>
      <c r="E8" s="289"/>
      <c r="F8" s="298"/>
      <c r="G8" s="289"/>
      <c r="H8" s="298"/>
      <c r="I8" s="289"/>
      <c r="J8" s="298"/>
      <c r="K8" s="289"/>
      <c r="L8" s="289"/>
      <c r="M8" s="298"/>
    </row>
    <row r="9" spans="1:13">
      <c r="A9" s="295">
        <v>2</v>
      </c>
      <c r="B9" s="289"/>
      <c r="C9" s="289"/>
      <c r="D9" s="289"/>
      <c r="E9" s="289"/>
      <c r="F9" s="298"/>
      <c r="G9" s="289"/>
      <c r="H9" s="298"/>
      <c r="I9" s="289"/>
      <c r="J9" s="298"/>
      <c r="K9" s="289"/>
      <c r="L9" s="289"/>
      <c r="M9" s="298"/>
    </row>
    <row r="10" spans="1:13">
      <c r="A10" s="295">
        <v>3</v>
      </c>
      <c r="B10" s="289"/>
      <c r="C10" s="289"/>
      <c r="D10" s="289"/>
      <c r="E10" s="289"/>
      <c r="F10" s="298"/>
      <c r="G10" s="289"/>
      <c r="H10" s="298"/>
      <c r="I10" s="289"/>
      <c r="J10" s="298"/>
      <c r="K10" s="289"/>
      <c r="L10" s="289"/>
      <c r="M10" s="298"/>
    </row>
    <row r="11" spans="1:13">
      <c r="A11" s="295">
        <v>4</v>
      </c>
      <c r="B11" s="289"/>
      <c r="C11" s="289"/>
      <c r="D11" s="289"/>
      <c r="E11" s="289"/>
      <c r="F11" s="298"/>
      <c r="G11" s="289"/>
      <c r="H11" s="298"/>
      <c r="I11" s="289"/>
      <c r="J11" s="298"/>
      <c r="K11" s="289"/>
      <c r="L11" s="289"/>
      <c r="M11" s="298"/>
    </row>
    <row r="12" spans="1:13">
      <c r="A12" s="295">
        <v>5</v>
      </c>
      <c r="B12" s="289"/>
      <c r="C12" s="289"/>
      <c r="D12" s="289"/>
      <c r="E12" s="289"/>
      <c r="F12" s="298"/>
      <c r="G12" s="289"/>
      <c r="H12" s="298"/>
      <c r="I12" s="289"/>
      <c r="J12" s="298"/>
      <c r="K12" s="289"/>
      <c r="L12" s="289"/>
      <c r="M12" s="298"/>
    </row>
    <row r="13" spans="1:13">
      <c r="A13" s="295">
        <v>6</v>
      </c>
      <c r="B13" s="10"/>
      <c r="C13" s="10"/>
      <c r="D13" s="10"/>
      <c r="E13" s="10"/>
      <c r="F13" s="298"/>
      <c r="G13" s="10"/>
      <c r="H13" s="289"/>
      <c r="I13" s="10"/>
      <c r="J13" s="298"/>
      <c r="K13" s="10"/>
      <c r="L13" s="298"/>
      <c r="M13" s="298"/>
    </row>
    <row r="14" spans="1:13">
      <c r="A14" s="295">
        <v>7</v>
      </c>
      <c r="B14" s="10"/>
      <c r="C14" s="10"/>
      <c r="D14" s="10"/>
      <c r="E14" s="10"/>
      <c r="F14" s="298">
        <f t="shared" ref="F14:F17" si="0">D14*E14*C14</f>
        <v>0</v>
      </c>
      <c r="G14" s="10">
        <v>0</v>
      </c>
      <c r="H14" s="289"/>
      <c r="I14" s="10"/>
      <c r="J14" s="298">
        <f t="shared" ref="J14:J17" si="1">H14*I14</f>
        <v>0</v>
      </c>
      <c r="K14" s="10"/>
      <c r="L14" s="298"/>
      <c r="M14" s="298">
        <f t="shared" ref="M14:M17" si="2">D14*L14</f>
        <v>0</v>
      </c>
    </row>
    <row r="15" spans="1:13">
      <c r="A15" s="295">
        <v>8</v>
      </c>
      <c r="B15" s="10"/>
      <c r="C15" s="10"/>
      <c r="D15" s="10"/>
      <c r="E15" s="10"/>
      <c r="F15" s="298">
        <f t="shared" si="0"/>
        <v>0</v>
      </c>
      <c r="G15" s="10">
        <v>0</v>
      </c>
      <c r="H15" s="289"/>
      <c r="I15" s="10"/>
      <c r="J15" s="298">
        <f t="shared" si="1"/>
        <v>0</v>
      </c>
      <c r="K15" s="10"/>
      <c r="L15" s="298"/>
      <c r="M15" s="298">
        <f t="shared" si="2"/>
        <v>0</v>
      </c>
    </row>
    <row r="16" spans="1:13">
      <c r="A16" s="295">
        <v>9</v>
      </c>
      <c r="B16" s="10"/>
      <c r="C16" s="10"/>
      <c r="D16" s="10"/>
      <c r="E16" s="10"/>
      <c r="F16" s="298">
        <f t="shared" si="0"/>
        <v>0</v>
      </c>
      <c r="G16" s="10">
        <v>0</v>
      </c>
      <c r="H16" s="289"/>
      <c r="I16" s="10"/>
      <c r="J16" s="298">
        <f t="shared" si="1"/>
        <v>0</v>
      </c>
      <c r="K16" s="10"/>
      <c r="L16" s="298"/>
      <c r="M16" s="298">
        <f t="shared" si="2"/>
        <v>0</v>
      </c>
    </row>
    <row r="17" spans="1:16">
      <c r="A17" s="295">
        <v>10</v>
      </c>
      <c r="B17" s="10"/>
      <c r="C17" s="10"/>
      <c r="D17" s="10"/>
      <c r="E17" s="10"/>
      <c r="F17" s="298">
        <f t="shared" si="0"/>
        <v>0</v>
      </c>
      <c r="G17" s="10">
        <v>0</v>
      </c>
      <c r="H17" s="289"/>
      <c r="I17" s="10"/>
      <c r="J17" s="298">
        <f t="shared" si="1"/>
        <v>0</v>
      </c>
      <c r="K17" s="10"/>
      <c r="L17" s="298"/>
      <c r="M17" s="298">
        <f t="shared" si="2"/>
        <v>0</v>
      </c>
    </row>
    <row r="18" spans="1:16">
      <c r="A18" s="15"/>
      <c r="B18" s="15"/>
      <c r="C18" s="299"/>
      <c r="D18" s="299"/>
      <c r="E18" s="299"/>
      <c r="F18" s="299"/>
      <c r="G18" s="299"/>
      <c r="H18" s="299"/>
      <c r="I18" s="299"/>
      <c r="J18" s="299"/>
      <c r="K18" s="299"/>
      <c r="L18" s="299"/>
      <c r="M18" s="297"/>
    </row>
    <row r="19" spans="1:16">
      <c r="A19" s="15"/>
      <c r="B19" s="15"/>
      <c r="C19" s="299"/>
      <c r="D19" s="299"/>
      <c r="E19" s="299"/>
      <c r="F19" s="299"/>
      <c r="G19" s="299"/>
      <c r="H19" s="299"/>
      <c r="I19" s="299"/>
      <c r="J19" s="299"/>
      <c r="K19" s="299"/>
      <c r="L19" s="299"/>
      <c r="M19" s="297"/>
    </row>
    <row r="21" spans="1:16" ht="18.75">
      <c r="A21" s="417" t="s">
        <v>602</v>
      </c>
      <c r="B21" s="417"/>
      <c r="C21" s="417"/>
      <c r="D21" s="417"/>
      <c r="E21" s="417"/>
      <c r="F21" s="417"/>
      <c r="G21" s="417"/>
      <c r="H21" s="417"/>
      <c r="I21" s="417"/>
      <c r="J21" s="417"/>
      <c r="K21" s="417"/>
    </row>
    <row r="23" spans="1:16">
      <c r="A23" s="94"/>
      <c r="B23" s="94"/>
      <c r="C23" s="94"/>
      <c r="D23" s="94"/>
      <c r="E23" s="179">
        <v>1</v>
      </c>
      <c r="F23" s="184">
        <f>(E23*5%)+E23</f>
        <v>1.05</v>
      </c>
      <c r="G23" s="184">
        <f t="shared" ref="G23:K23" si="3">(F23*5%)+F23</f>
        <v>1.1025</v>
      </c>
      <c r="H23" s="184">
        <f t="shared" si="3"/>
        <v>1.1576250000000001</v>
      </c>
      <c r="I23" s="184">
        <f t="shared" si="3"/>
        <v>1.2155062500000002</v>
      </c>
      <c r="J23" s="184">
        <f t="shared" si="3"/>
        <v>1.2762815625000004</v>
      </c>
      <c r="K23" s="184">
        <f t="shared" si="3"/>
        <v>1.3400956406250004</v>
      </c>
    </row>
    <row r="24" spans="1:16">
      <c r="A24" s="148" t="s">
        <v>0</v>
      </c>
      <c r="B24" s="148" t="s">
        <v>133</v>
      </c>
      <c r="C24" s="148" t="s">
        <v>147</v>
      </c>
      <c r="D24" s="148" t="s">
        <v>154</v>
      </c>
      <c r="E24" s="120" t="s">
        <v>2</v>
      </c>
      <c r="F24" s="120" t="s">
        <v>3</v>
      </c>
      <c r="G24" s="120" t="s">
        <v>4</v>
      </c>
      <c r="H24" s="120" t="s">
        <v>5</v>
      </c>
      <c r="I24" s="120" t="s">
        <v>6</v>
      </c>
      <c r="J24" s="120" t="s">
        <v>171</v>
      </c>
      <c r="K24" s="120" t="s">
        <v>170</v>
      </c>
    </row>
    <row r="25" spans="1:16">
      <c r="A25" s="97"/>
      <c r="B25" s="97"/>
      <c r="C25" s="97"/>
      <c r="D25" s="97"/>
      <c r="E25" s="95"/>
      <c r="F25" s="95"/>
      <c r="G25" s="95"/>
      <c r="H25" s="95"/>
      <c r="I25" s="95"/>
      <c r="J25" s="95"/>
      <c r="K25" s="95"/>
    </row>
    <row r="26" spans="1:16">
      <c r="A26" s="97" t="s">
        <v>127</v>
      </c>
      <c r="B26" s="97"/>
      <c r="C26" s="97"/>
      <c r="D26" s="97"/>
      <c r="E26" s="95"/>
      <c r="F26" s="95"/>
      <c r="G26" s="95"/>
      <c r="H26" s="95"/>
      <c r="I26" s="95"/>
      <c r="J26" s="95"/>
      <c r="K26" s="95"/>
      <c r="P26" s="94"/>
    </row>
    <row r="27" spans="1:16">
      <c r="A27" s="196" t="s">
        <v>453</v>
      </c>
      <c r="B27" s="109"/>
      <c r="C27" s="300"/>
      <c r="D27" s="300"/>
      <c r="E27" s="96"/>
      <c r="F27" s="96"/>
      <c r="G27" s="96"/>
      <c r="H27" s="96"/>
      <c r="I27" s="96"/>
      <c r="J27" s="96"/>
      <c r="K27" s="96"/>
      <c r="P27" s="94"/>
    </row>
    <row r="28" spans="1:16">
      <c r="A28" s="109">
        <f>B8</f>
        <v>0</v>
      </c>
      <c r="B28" s="109"/>
      <c r="C28" s="300">
        <f>H8</f>
        <v>0</v>
      </c>
      <c r="D28" s="300">
        <f>K8</f>
        <v>0</v>
      </c>
      <c r="E28" s="96">
        <f>$C$28*$D$28*E23</f>
        <v>0</v>
      </c>
      <c r="F28" s="96">
        <f t="shared" ref="F28:K28" si="4">$C$28*$D$28*F23</f>
        <v>0</v>
      </c>
      <c r="G28" s="96">
        <f t="shared" si="4"/>
        <v>0</v>
      </c>
      <c r="H28" s="96">
        <f t="shared" si="4"/>
        <v>0</v>
      </c>
      <c r="I28" s="96">
        <f t="shared" si="4"/>
        <v>0</v>
      </c>
      <c r="J28" s="96">
        <f t="shared" si="4"/>
        <v>0</v>
      </c>
      <c r="K28" s="96">
        <f t="shared" si="4"/>
        <v>0</v>
      </c>
      <c r="P28" s="94"/>
    </row>
    <row r="29" spans="1:16">
      <c r="A29" s="109">
        <f>B9</f>
        <v>0</v>
      </c>
      <c r="B29" s="109"/>
      <c r="C29" s="300">
        <f t="shared" ref="C29:C38" si="5">H9</f>
        <v>0</v>
      </c>
      <c r="D29" s="300">
        <f>K9</f>
        <v>0</v>
      </c>
      <c r="E29" s="96">
        <f>$C$29*$D$29*E23</f>
        <v>0</v>
      </c>
      <c r="F29" s="96">
        <f t="shared" ref="F29:K29" si="6">$C$29*$D$29*F23</f>
        <v>0</v>
      </c>
      <c r="G29" s="96">
        <f t="shared" si="6"/>
        <v>0</v>
      </c>
      <c r="H29" s="96">
        <f t="shared" si="6"/>
        <v>0</v>
      </c>
      <c r="I29" s="96">
        <f t="shared" si="6"/>
        <v>0</v>
      </c>
      <c r="J29" s="96">
        <f t="shared" si="6"/>
        <v>0</v>
      </c>
      <c r="K29" s="96">
        <f t="shared" si="6"/>
        <v>0</v>
      </c>
      <c r="P29" s="94"/>
    </row>
    <row r="30" spans="1:16">
      <c r="A30" s="109">
        <f>B10</f>
        <v>0</v>
      </c>
      <c r="B30" s="109"/>
      <c r="C30" s="300">
        <f t="shared" si="5"/>
        <v>0</v>
      </c>
      <c r="D30" s="300">
        <f>K10</f>
        <v>0</v>
      </c>
      <c r="E30" s="96">
        <f>$C$30*$D$30*E23</f>
        <v>0</v>
      </c>
      <c r="F30" s="96">
        <f t="shared" ref="F30:K30" si="7">$C$30*$D$30*F23</f>
        <v>0</v>
      </c>
      <c r="G30" s="96">
        <f t="shared" si="7"/>
        <v>0</v>
      </c>
      <c r="H30" s="96">
        <f t="shared" si="7"/>
        <v>0</v>
      </c>
      <c r="I30" s="96">
        <f t="shared" si="7"/>
        <v>0</v>
      </c>
      <c r="J30" s="96">
        <f t="shared" si="7"/>
        <v>0</v>
      </c>
      <c r="K30" s="96">
        <f t="shared" si="7"/>
        <v>0</v>
      </c>
      <c r="P30" s="94"/>
    </row>
    <row r="31" spans="1:16">
      <c r="A31" s="109">
        <f>B11</f>
        <v>0</v>
      </c>
      <c r="B31" s="109"/>
      <c r="C31" s="300">
        <f t="shared" si="5"/>
        <v>0</v>
      </c>
      <c r="D31" s="300">
        <f>K11</f>
        <v>0</v>
      </c>
      <c r="E31" s="96">
        <f>$C$31*$D$31*E23</f>
        <v>0</v>
      </c>
      <c r="F31" s="96">
        <f t="shared" ref="F31:K31" si="8">$C$31*$D$31*F23</f>
        <v>0</v>
      </c>
      <c r="G31" s="96">
        <f t="shared" si="8"/>
        <v>0</v>
      </c>
      <c r="H31" s="96">
        <f t="shared" si="8"/>
        <v>0</v>
      </c>
      <c r="I31" s="96">
        <f t="shared" si="8"/>
        <v>0</v>
      </c>
      <c r="J31" s="96">
        <f t="shared" si="8"/>
        <v>0</v>
      </c>
      <c r="K31" s="96">
        <f t="shared" si="8"/>
        <v>0</v>
      </c>
      <c r="P31" s="94"/>
    </row>
    <row r="32" spans="1:16">
      <c r="A32" s="109">
        <f>B12</f>
        <v>0</v>
      </c>
      <c r="B32" s="109"/>
      <c r="C32" s="300">
        <f t="shared" si="5"/>
        <v>0</v>
      </c>
      <c r="D32" s="300">
        <f>K12</f>
        <v>0</v>
      </c>
      <c r="E32" s="96">
        <f>$C$32*$D$32*E23</f>
        <v>0</v>
      </c>
      <c r="F32" s="96">
        <f t="shared" ref="F32:K32" si="9">$C$32*$D$32*F23</f>
        <v>0</v>
      </c>
      <c r="G32" s="96">
        <f t="shared" si="9"/>
        <v>0</v>
      </c>
      <c r="H32" s="96">
        <f t="shared" si="9"/>
        <v>0</v>
      </c>
      <c r="I32" s="96">
        <f t="shared" si="9"/>
        <v>0</v>
      </c>
      <c r="J32" s="96">
        <f t="shared" si="9"/>
        <v>0</v>
      </c>
      <c r="K32" s="96">
        <f t="shared" si="9"/>
        <v>0</v>
      </c>
      <c r="P32" s="94"/>
    </row>
    <row r="33" spans="1:16">
      <c r="A33" s="109"/>
      <c r="B33" s="109"/>
      <c r="C33" s="300">
        <f t="shared" si="5"/>
        <v>0</v>
      </c>
      <c r="D33" s="300">
        <f t="shared" ref="D33:D38" si="10">K13</f>
        <v>0</v>
      </c>
      <c r="E33" s="96">
        <f>$C$33*$D$33*E23</f>
        <v>0</v>
      </c>
      <c r="F33" s="96">
        <f t="shared" ref="F33:K33" si="11">$C$33*$D$33*F23</f>
        <v>0</v>
      </c>
      <c r="G33" s="96">
        <f t="shared" si="11"/>
        <v>0</v>
      </c>
      <c r="H33" s="96">
        <f t="shared" si="11"/>
        <v>0</v>
      </c>
      <c r="I33" s="96">
        <f t="shared" si="11"/>
        <v>0</v>
      </c>
      <c r="J33" s="96">
        <f t="shared" si="11"/>
        <v>0</v>
      </c>
      <c r="K33" s="96">
        <f t="shared" si="11"/>
        <v>0</v>
      </c>
      <c r="P33" s="94"/>
    </row>
    <row r="34" spans="1:16">
      <c r="A34" s="109"/>
      <c r="B34" s="109"/>
      <c r="C34" s="300">
        <f t="shared" si="5"/>
        <v>0</v>
      </c>
      <c r="D34" s="300">
        <f t="shared" si="10"/>
        <v>0</v>
      </c>
      <c r="E34" s="96">
        <f>$C$34*$D$34*E23</f>
        <v>0</v>
      </c>
      <c r="F34" s="96">
        <f t="shared" ref="F34:K34" si="12">$C$34*$D$34*F23</f>
        <v>0</v>
      </c>
      <c r="G34" s="96">
        <f t="shared" si="12"/>
        <v>0</v>
      </c>
      <c r="H34" s="96">
        <f t="shared" si="12"/>
        <v>0</v>
      </c>
      <c r="I34" s="96">
        <f t="shared" si="12"/>
        <v>0</v>
      </c>
      <c r="J34" s="96">
        <f t="shared" si="12"/>
        <v>0</v>
      </c>
      <c r="K34" s="96">
        <f t="shared" si="12"/>
        <v>0</v>
      </c>
      <c r="P34" s="94"/>
    </row>
    <row r="35" spans="1:16">
      <c r="A35" s="109"/>
      <c r="B35" s="109"/>
      <c r="C35" s="300">
        <f t="shared" si="5"/>
        <v>0</v>
      </c>
      <c r="D35" s="300">
        <f t="shared" si="10"/>
        <v>0</v>
      </c>
      <c r="E35" s="96">
        <f>$C$35*$D$35*E23</f>
        <v>0</v>
      </c>
      <c r="F35" s="96">
        <f t="shared" ref="F35:K35" si="13">$C$35*$D$35*F23</f>
        <v>0</v>
      </c>
      <c r="G35" s="96">
        <f t="shared" si="13"/>
        <v>0</v>
      </c>
      <c r="H35" s="96">
        <f t="shared" si="13"/>
        <v>0</v>
      </c>
      <c r="I35" s="96">
        <f t="shared" si="13"/>
        <v>0</v>
      </c>
      <c r="J35" s="96">
        <f t="shared" si="13"/>
        <v>0</v>
      </c>
      <c r="K35" s="96">
        <f t="shared" si="13"/>
        <v>0</v>
      </c>
      <c r="P35" s="94"/>
    </row>
    <row r="36" spans="1:16">
      <c r="A36" s="109"/>
      <c r="B36" s="109"/>
      <c r="C36" s="300">
        <f t="shared" si="5"/>
        <v>0</v>
      </c>
      <c r="D36" s="300">
        <f t="shared" si="10"/>
        <v>0</v>
      </c>
      <c r="E36" s="96">
        <f>$C$36*$D$36*E23</f>
        <v>0</v>
      </c>
      <c r="F36" s="96">
        <f t="shared" ref="F36:K36" si="14">$C$36*$D$36*F23</f>
        <v>0</v>
      </c>
      <c r="G36" s="96">
        <f t="shared" si="14"/>
        <v>0</v>
      </c>
      <c r="H36" s="96">
        <f t="shared" si="14"/>
        <v>0</v>
      </c>
      <c r="I36" s="96">
        <f t="shared" si="14"/>
        <v>0</v>
      </c>
      <c r="J36" s="96">
        <f t="shared" si="14"/>
        <v>0</v>
      </c>
      <c r="K36" s="96">
        <f t="shared" si="14"/>
        <v>0</v>
      </c>
      <c r="P36" s="94"/>
    </row>
    <row r="37" spans="1:16">
      <c r="A37" s="109"/>
      <c r="B37" s="109"/>
      <c r="C37" s="300">
        <f t="shared" si="5"/>
        <v>0</v>
      </c>
      <c r="D37" s="300">
        <f t="shared" si="10"/>
        <v>0</v>
      </c>
      <c r="E37" s="96">
        <f>$C$37*$D$37*E23</f>
        <v>0</v>
      </c>
      <c r="F37" s="96">
        <f t="shared" ref="F37:K37" si="15">$C$37*$D$37*F23</f>
        <v>0</v>
      </c>
      <c r="G37" s="96">
        <f t="shared" si="15"/>
        <v>0</v>
      </c>
      <c r="H37" s="96">
        <f t="shared" si="15"/>
        <v>0</v>
      </c>
      <c r="I37" s="96">
        <f t="shared" si="15"/>
        <v>0</v>
      </c>
      <c r="J37" s="96">
        <f t="shared" si="15"/>
        <v>0</v>
      </c>
      <c r="K37" s="96">
        <f t="shared" si="15"/>
        <v>0</v>
      </c>
      <c r="P37" s="94"/>
    </row>
    <row r="38" spans="1:16">
      <c r="A38" s="97"/>
      <c r="B38" s="97"/>
      <c r="C38" s="300">
        <f t="shared" si="5"/>
        <v>0</v>
      </c>
      <c r="D38" s="300">
        <f t="shared" si="10"/>
        <v>0</v>
      </c>
      <c r="E38" s="96">
        <f>$C$38*$D$38*E23</f>
        <v>0</v>
      </c>
      <c r="F38" s="96">
        <f t="shared" ref="F38:K38" si="16">$C$38*$D$38*F23</f>
        <v>0</v>
      </c>
      <c r="G38" s="96">
        <f t="shared" si="16"/>
        <v>0</v>
      </c>
      <c r="H38" s="96">
        <f t="shared" si="16"/>
        <v>0</v>
      </c>
      <c r="I38" s="96">
        <f t="shared" si="16"/>
        <v>0</v>
      </c>
      <c r="J38" s="96">
        <f t="shared" si="16"/>
        <v>0</v>
      </c>
      <c r="K38" s="96">
        <f t="shared" si="16"/>
        <v>0</v>
      </c>
      <c r="P38" s="94"/>
    </row>
    <row r="39" spans="1:16">
      <c r="A39" s="97" t="s">
        <v>144</v>
      </c>
      <c r="B39" s="97"/>
      <c r="C39" s="101"/>
      <c r="D39" s="101"/>
      <c r="E39" s="96">
        <f>SUM(E28:E38)</f>
        <v>0</v>
      </c>
      <c r="F39" s="96">
        <f t="shared" ref="F39:K39" si="17">SUM(F28:F38)</f>
        <v>0</v>
      </c>
      <c r="G39" s="96">
        <f t="shared" si="17"/>
        <v>0</v>
      </c>
      <c r="H39" s="96">
        <f t="shared" si="17"/>
        <v>0</v>
      </c>
      <c r="I39" s="96">
        <f t="shared" si="17"/>
        <v>0</v>
      </c>
      <c r="J39" s="96">
        <f t="shared" si="17"/>
        <v>0</v>
      </c>
      <c r="K39" s="96">
        <f t="shared" si="17"/>
        <v>0</v>
      </c>
      <c r="P39" s="94"/>
    </row>
    <row r="40" spans="1:16">
      <c r="A40" s="95"/>
      <c r="B40" s="95"/>
      <c r="C40" s="99"/>
      <c r="D40" s="99"/>
      <c r="E40" s="96"/>
      <c r="F40" s="96"/>
      <c r="G40" s="96"/>
      <c r="H40" s="96"/>
      <c r="I40" s="96"/>
      <c r="J40" s="96"/>
      <c r="K40" s="96"/>
      <c r="P40" s="94"/>
    </row>
    <row r="41" spans="1:16">
      <c r="A41" s="97" t="s">
        <v>143</v>
      </c>
      <c r="B41" s="97"/>
      <c r="C41" s="101"/>
      <c r="D41" s="101"/>
      <c r="E41" s="96"/>
      <c r="F41" s="96"/>
      <c r="G41" s="96"/>
      <c r="H41" s="96"/>
      <c r="I41" s="96"/>
      <c r="J41" s="96"/>
      <c r="K41" s="96"/>
      <c r="P41" s="94"/>
    </row>
    <row r="42" spans="1:16">
      <c r="A42" s="97" t="s">
        <v>311</v>
      </c>
      <c r="B42" s="97"/>
      <c r="C42" s="101"/>
      <c r="D42" s="101"/>
      <c r="E42" s="96"/>
      <c r="F42" s="96"/>
      <c r="G42" s="96"/>
      <c r="H42" s="96"/>
      <c r="I42" s="96"/>
      <c r="J42" s="96"/>
      <c r="K42" s="96"/>
    </row>
    <row r="43" spans="1:16">
      <c r="A43" s="95" t="s">
        <v>312</v>
      </c>
      <c r="B43" s="95" t="s">
        <v>450</v>
      </c>
      <c r="C43" s="99">
        <f>SUM(J8:J17)</f>
        <v>0</v>
      </c>
      <c r="D43" s="233">
        <v>110</v>
      </c>
      <c r="E43" s="96">
        <f>$C$43*$D$43*E23</f>
        <v>0</v>
      </c>
      <c r="F43" s="96">
        <f t="shared" ref="F43:K43" si="18">$C$43*$D$43*F23</f>
        <v>0</v>
      </c>
      <c r="G43" s="96">
        <f t="shared" si="18"/>
        <v>0</v>
      </c>
      <c r="H43" s="96">
        <f t="shared" si="18"/>
        <v>0</v>
      </c>
      <c r="I43" s="96">
        <f t="shared" si="18"/>
        <v>0</v>
      </c>
      <c r="J43" s="96">
        <f t="shared" si="18"/>
        <v>0</v>
      </c>
      <c r="K43" s="96">
        <f t="shared" si="18"/>
        <v>0</v>
      </c>
    </row>
    <row r="44" spans="1:16">
      <c r="A44" s="95" t="s">
        <v>313</v>
      </c>
      <c r="B44" s="95" t="s">
        <v>452</v>
      </c>
      <c r="C44" s="99">
        <f>SUM(M8:M17)</f>
        <v>0</v>
      </c>
      <c r="D44" s="233">
        <v>300</v>
      </c>
      <c r="E44" s="96">
        <f>$C$44*$D$44*E23</f>
        <v>0</v>
      </c>
      <c r="F44" s="96">
        <f t="shared" ref="F44:K44" si="19">$C$44*$D$44*F23</f>
        <v>0</v>
      </c>
      <c r="G44" s="96">
        <f t="shared" si="19"/>
        <v>0</v>
      </c>
      <c r="H44" s="96">
        <f t="shared" si="19"/>
        <v>0</v>
      </c>
      <c r="I44" s="96">
        <f t="shared" si="19"/>
        <v>0</v>
      </c>
      <c r="J44" s="96">
        <f t="shared" si="19"/>
        <v>0</v>
      </c>
      <c r="K44" s="96">
        <f t="shared" si="19"/>
        <v>0</v>
      </c>
    </row>
    <row r="45" spans="1:16">
      <c r="A45" s="95"/>
      <c r="B45" s="95"/>
      <c r="C45" s="233"/>
      <c r="D45" s="233"/>
      <c r="E45" s="96"/>
      <c r="F45" s="96"/>
      <c r="G45" s="96"/>
      <c r="H45" s="96"/>
      <c r="I45" s="96"/>
      <c r="J45" s="96"/>
      <c r="K45" s="96"/>
    </row>
    <row r="46" spans="1:16">
      <c r="A46" s="95"/>
      <c r="B46" s="95"/>
      <c r="C46" s="233"/>
      <c r="D46" s="233"/>
      <c r="E46" s="96"/>
      <c r="F46" s="96"/>
      <c r="G46" s="96"/>
      <c r="H46" s="96"/>
      <c r="I46" s="96"/>
      <c r="J46" s="96"/>
      <c r="K46" s="96"/>
    </row>
    <row r="47" spans="1:16">
      <c r="A47" s="95"/>
      <c r="B47" s="95"/>
      <c r="C47" s="233"/>
      <c r="D47" s="233"/>
      <c r="E47" s="96"/>
      <c r="F47" s="96"/>
      <c r="G47" s="96"/>
      <c r="H47" s="96"/>
      <c r="I47" s="96"/>
      <c r="J47" s="96"/>
      <c r="K47" s="96"/>
    </row>
    <row r="48" spans="1:16">
      <c r="A48" s="95"/>
      <c r="B48" s="95"/>
      <c r="C48" s="233"/>
      <c r="D48" s="233"/>
      <c r="E48" s="96"/>
      <c r="F48" s="96"/>
      <c r="G48" s="96"/>
      <c r="H48" s="96"/>
      <c r="I48" s="96"/>
      <c r="J48" s="96"/>
      <c r="K48" s="96"/>
    </row>
    <row r="49" spans="1:12">
      <c r="A49" s="97" t="s">
        <v>326</v>
      </c>
      <c r="B49" s="97"/>
      <c r="C49" s="238"/>
      <c r="D49" s="238"/>
      <c r="E49" s="115">
        <f>SUM(E43:E48)</f>
        <v>0</v>
      </c>
      <c r="F49" s="115">
        <f t="shared" ref="F49:K49" si="20">SUM(F43:F48)</f>
        <v>0</v>
      </c>
      <c r="G49" s="115">
        <f t="shared" si="20"/>
        <v>0</v>
      </c>
      <c r="H49" s="115">
        <f t="shared" si="20"/>
        <v>0</v>
      </c>
      <c r="I49" s="115">
        <f t="shared" si="20"/>
        <v>0</v>
      </c>
      <c r="J49" s="115">
        <f t="shared" si="20"/>
        <v>0</v>
      </c>
      <c r="K49" s="115">
        <f t="shared" si="20"/>
        <v>0</v>
      </c>
    </row>
    <row r="50" spans="1:12">
      <c r="A50" s="97"/>
      <c r="B50" s="97"/>
      <c r="C50" s="238"/>
      <c r="D50" s="238"/>
      <c r="E50" s="115"/>
      <c r="F50" s="115"/>
      <c r="G50" s="115"/>
      <c r="H50" s="115"/>
      <c r="I50" s="115"/>
      <c r="J50" s="115"/>
      <c r="K50" s="115"/>
    </row>
    <row r="51" spans="1:12">
      <c r="A51" s="196" t="s">
        <v>314</v>
      </c>
      <c r="B51" s="196"/>
      <c r="C51" s="259"/>
      <c r="D51" s="259"/>
      <c r="E51" s="96"/>
      <c r="F51" s="96"/>
      <c r="G51" s="96"/>
      <c r="H51" s="96"/>
      <c r="I51" s="96"/>
      <c r="J51" s="96"/>
      <c r="K51" s="96"/>
    </row>
    <row r="52" spans="1:12">
      <c r="A52" s="109" t="s">
        <v>315</v>
      </c>
      <c r="B52" s="95" t="s">
        <v>399</v>
      </c>
      <c r="C52" s="259">
        <v>2</v>
      </c>
      <c r="D52" s="260">
        <v>0</v>
      </c>
      <c r="E52" s="96">
        <f t="shared" ref="E52:K52" si="21">$C$52*$D$52*12*E23</f>
        <v>0</v>
      </c>
      <c r="F52" s="96">
        <f t="shared" si="21"/>
        <v>0</v>
      </c>
      <c r="G52" s="96">
        <f t="shared" si="21"/>
        <v>0</v>
      </c>
      <c r="H52" s="96">
        <f t="shared" si="21"/>
        <v>0</v>
      </c>
      <c r="I52" s="96">
        <f t="shared" si="21"/>
        <v>0</v>
      </c>
      <c r="J52" s="96">
        <f t="shared" si="21"/>
        <v>0</v>
      </c>
      <c r="K52" s="96">
        <f t="shared" si="21"/>
        <v>0</v>
      </c>
    </row>
    <row r="53" spans="1:12">
      <c r="A53" s="109"/>
      <c r="B53" s="109"/>
      <c r="C53" s="259"/>
      <c r="D53" s="260"/>
      <c r="E53" s="96"/>
      <c r="F53" s="96"/>
      <c r="G53" s="96"/>
      <c r="H53" s="96"/>
      <c r="I53" s="96"/>
      <c r="J53" s="96"/>
      <c r="K53" s="96"/>
    </row>
    <row r="54" spans="1:12">
      <c r="A54" s="109"/>
      <c r="B54" s="109"/>
      <c r="C54" s="259"/>
      <c r="D54" s="260"/>
      <c r="E54" s="96"/>
      <c r="F54" s="96"/>
      <c r="G54" s="96"/>
      <c r="H54" s="96"/>
      <c r="I54" s="96"/>
      <c r="J54" s="96"/>
      <c r="K54" s="96"/>
    </row>
    <row r="55" spans="1:12">
      <c r="A55" s="109"/>
      <c r="B55" s="109"/>
      <c r="C55" s="259"/>
      <c r="D55" s="260"/>
      <c r="E55" s="96"/>
      <c r="F55" s="96"/>
      <c r="G55" s="96"/>
      <c r="H55" s="96"/>
      <c r="I55" s="96"/>
      <c r="J55" s="96"/>
      <c r="K55" s="96"/>
    </row>
    <row r="56" spans="1:12">
      <c r="A56" s="97" t="s">
        <v>330</v>
      </c>
      <c r="B56" s="97"/>
      <c r="C56" s="97"/>
      <c r="D56" s="97"/>
      <c r="E56" s="115">
        <f>SUM(E52:E55)</f>
        <v>0</v>
      </c>
      <c r="F56" s="115">
        <f t="shared" ref="F56:K56" si="22">SUM(F52:F55)</f>
        <v>0</v>
      </c>
      <c r="G56" s="115">
        <f t="shared" si="22"/>
        <v>0</v>
      </c>
      <c r="H56" s="115">
        <f t="shared" si="22"/>
        <v>0</v>
      </c>
      <c r="I56" s="115">
        <f t="shared" si="22"/>
        <v>0</v>
      </c>
      <c r="J56" s="115">
        <f t="shared" si="22"/>
        <v>0</v>
      </c>
      <c r="K56" s="115">
        <f t="shared" si="22"/>
        <v>0</v>
      </c>
    </row>
    <row r="57" spans="1:12">
      <c r="A57" s="97" t="s">
        <v>130</v>
      </c>
      <c r="B57" s="97"/>
      <c r="C57" s="97"/>
      <c r="D57" s="97"/>
      <c r="E57" s="115">
        <f>E49+E56</f>
        <v>0</v>
      </c>
      <c r="F57" s="115">
        <f t="shared" ref="F57:K57" si="23">F49+F56</f>
        <v>0</v>
      </c>
      <c r="G57" s="115">
        <f t="shared" si="23"/>
        <v>0</v>
      </c>
      <c r="H57" s="115">
        <f t="shared" si="23"/>
        <v>0</v>
      </c>
      <c r="I57" s="115">
        <f t="shared" si="23"/>
        <v>0</v>
      </c>
      <c r="J57" s="115">
        <f t="shared" si="23"/>
        <v>0</v>
      </c>
      <c r="K57" s="115">
        <f t="shared" si="23"/>
        <v>0</v>
      </c>
    </row>
    <row r="58" spans="1:12">
      <c r="A58" s="95"/>
      <c r="B58" s="95"/>
      <c r="C58" s="95"/>
      <c r="D58" s="95"/>
      <c r="E58" s="96"/>
      <c r="F58" s="96"/>
      <c r="G58" s="96"/>
      <c r="H58" s="96"/>
      <c r="I58" s="96"/>
      <c r="J58" s="96"/>
      <c r="K58" s="96"/>
    </row>
    <row r="59" spans="1:12">
      <c r="A59" s="97" t="s">
        <v>318</v>
      </c>
      <c r="B59" s="97"/>
      <c r="C59" s="97"/>
      <c r="D59" s="97"/>
      <c r="E59" s="115">
        <f t="shared" ref="E59:K59" si="24">E39-E57</f>
        <v>0</v>
      </c>
      <c r="F59" s="115">
        <f t="shared" si="24"/>
        <v>0</v>
      </c>
      <c r="G59" s="115">
        <f t="shared" si="24"/>
        <v>0</v>
      </c>
      <c r="H59" s="115">
        <f t="shared" si="24"/>
        <v>0</v>
      </c>
      <c r="I59" s="115">
        <f t="shared" si="24"/>
        <v>0</v>
      </c>
      <c r="J59" s="115">
        <f t="shared" si="24"/>
        <v>0</v>
      </c>
      <c r="K59" s="115">
        <f t="shared" si="24"/>
        <v>0</v>
      </c>
    </row>
    <row r="60" spans="1:12">
      <c r="A60" s="276"/>
      <c r="B60" s="276"/>
      <c r="C60" s="276"/>
      <c r="D60" s="276"/>
      <c r="E60" s="277"/>
      <c r="F60" s="277"/>
      <c r="G60" s="277"/>
      <c r="H60" s="277"/>
      <c r="I60" s="277"/>
      <c r="J60" s="277"/>
      <c r="K60" s="277"/>
    </row>
    <row r="61" spans="1:12">
      <c r="A61" s="94"/>
      <c r="B61" s="94"/>
      <c r="C61" s="276"/>
      <c r="D61" s="276"/>
      <c r="E61" s="277"/>
      <c r="F61" s="277"/>
      <c r="G61" s="277"/>
      <c r="H61" s="277"/>
      <c r="I61" s="277"/>
      <c r="J61" s="277"/>
      <c r="K61" s="277"/>
    </row>
    <row r="62" spans="1:12">
      <c r="A62" s="418" t="s">
        <v>430</v>
      </c>
      <c r="B62" s="418"/>
      <c r="C62" s="418"/>
      <c r="D62" s="418"/>
      <c r="E62" s="418"/>
      <c r="F62" s="418"/>
      <c r="G62" s="418"/>
      <c r="H62" s="418"/>
      <c r="I62" s="418"/>
      <c r="J62" s="418"/>
      <c r="K62" s="418"/>
      <c r="L62" s="418"/>
    </row>
    <row r="65" spans="1:2">
      <c r="A65" t="s">
        <v>546</v>
      </c>
    </row>
    <row r="66" spans="1:2">
      <c r="A66">
        <v>1</v>
      </c>
      <c r="B66" t="s">
        <v>559</v>
      </c>
    </row>
    <row r="67" spans="1:2">
      <c r="A67">
        <v>2</v>
      </c>
      <c r="B67" t="s">
        <v>560</v>
      </c>
    </row>
    <row r="68" spans="1:2">
      <c r="A68">
        <v>3</v>
      </c>
      <c r="B68" s="94" t="s">
        <v>610</v>
      </c>
    </row>
  </sheetData>
  <mergeCells count="4">
    <mergeCell ref="A21:K21"/>
    <mergeCell ref="A3:L3"/>
    <mergeCell ref="A62:L62"/>
    <mergeCell ref="A4:L4"/>
  </mergeCells>
  <pageMargins left="0.7" right="0.7" top="0.75" bottom="0.75" header="0.3" footer="0.3"/>
  <pageSetup paperSize="9" scale="6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284"/>
  <sheetViews>
    <sheetView view="pageBreakPreview" topLeftCell="A256" zoomScale="80" zoomScaleSheetLayoutView="80" workbookViewId="0">
      <selection activeCell="A159" sqref="A159"/>
    </sheetView>
  </sheetViews>
  <sheetFormatPr defaultRowHeight="15"/>
  <cols>
    <col min="1" max="1" width="41.140625" bestFit="1" customWidth="1"/>
    <col min="2" max="2" width="4.42578125" bestFit="1" customWidth="1"/>
    <col min="3" max="3" width="11.5703125" customWidth="1"/>
    <col min="4" max="4" width="15.42578125" customWidth="1"/>
    <col min="5" max="5" width="19.42578125" bestFit="1" customWidth="1"/>
    <col min="6" max="6" width="14.7109375" customWidth="1"/>
    <col min="7" max="10" width="14.7109375" bestFit="1" customWidth="1"/>
    <col min="12" max="12" width="27.140625" bestFit="1" customWidth="1"/>
    <col min="18" max="20" width="9.42578125" bestFit="1" customWidth="1"/>
    <col min="22" max="22" width="9.42578125" bestFit="1" customWidth="1"/>
  </cols>
  <sheetData>
    <row r="2" spans="1:9" ht="18.75">
      <c r="A2" s="417" t="s">
        <v>603</v>
      </c>
      <c r="B2" s="417"/>
      <c r="C2" s="417"/>
      <c r="D2" s="417"/>
      <c r="E2" s="417"/>
      <c r="F2" s="417"/>
      <c r="G2" s="417"/>
      <c r="H2" s="417"/>
      <c r="I2" s="417"/>
    </row>
    <row r="4" spans="1:9">
      <c r="A4" s="94"/>
      <c r="B4" s="94"/>
      <c r="C4" s="94"/>
      <c r="D4" s="94"/>
      <c r="E4" s="94"/>
      <c r="F4" s="94"/>
      <c r="G4" s="94"/>
      <c r="H4" s="94"/>
      <c r="I4" s="94"/>
    </row>
    <row r="5" spans="1:9">
      <c r="A5" s="94"/>
      <c r="B5" s="94"/>
      <c r="C5" s="94"/>
      <c r="D5" s="94"/>
      <c r="E5" s="94"/>
      <c r="F5" s="94"/>
      <c r="G5" s="94"/>
      <c r="H5" s="94"/>
      <c r="I5" s="94"/>
    </row>
    <row r="6" spans="1:9">
      <c r="A6" s="148" t="s">
        <v>128</v>
      </c>
      <c r="B6" s="148"/>
      <c r="C6" s="120" t="s">
        <v>2</v>
      </c>
      <c r="D6" s="120" t="s">
        <v>3</v>
      </c>
      <c r="E6" s="120" t="s">
        <v>4</v>
      </c>
      <c r="F6" s="120" t="s">
        <v>5</v>
      </c>
      <c r="G6" s="120" t="s">
        <v>6</v>
      </c>
      <c r="H6" s="120" t="s">
        <v>171</v>
      </c>
      <c r="I6" s="120" t="s">
        <v>170</v>
      </c>
    </row>
    <row r="7" spans="1:9">
      <c r="A7" s="101" t="s">
        <v>562</v>
      </c>
      <c r="B7" s="99"/>
      <c r="C7" s="99"/>
      <c r="D7" s="99"/>
      <c r="E7" s="99"/>
      <c r="F7" s="99"/>
      <c r="G7" s="99"/>
      <c r="H7" s="99"/>
      <c r="I7" s="99"/>
    </row>
    <row r="8" spans="1:9">
      <c r="A8" s="101" t="s">
        <v>180</v>
      </c>
      <c r="B8" s="205"/>
      <c r="C8" s="258"/>
      <c r="D8" s="258"/>
      <c r="E8" s="258"/>
      <c r="F8" s="258"/>
      <c r="G8" s="258"/>
      <c r="H8" s="258"/>
      <c r="I8" s="258"/>
    </row>
    <row r="9" spans="1:9">
      <c r="A9" s="99" t="str">
        <f>'10.Grain Production details'!A92</f>
        <v>Soybean</v>
      </c>
      <c r="B9" s="205"/>
      <c r="C9" s="258">
        <f>'10.Grain Production details'!B92</f>
        <v>0</v>
      </c>
      <c r="D9" s="258">
        <f>'10.Grain Production details'!C92</f>
        <v>0</v>
      </c>
      <c r="E9" s="258">
        <f>'10.Grain Production details'!D92</f>
        <v>0</v>
      </c>
      <c r="F9" s="258">
        <f>'10.Grain Production details'!E92</f>
        <v>0</v>
      </c>
      <c r="G9" s="258">
        <f>'10.Grain Production details'!F92</f>
        <v>0</v>
      </c>
      <c r="H9" s="258">
        <f>'10.Grain Production details'!G92</f>
        <v>0</v>
      </c>
      <c r="I9" s="258">
        <f>'10.Grain Production details'!H92</f>
        <v>0</v>
      </c>
    </row>
    <row r="10" spans="1:9">
      <c r="A10" s="99" t="str">
        <f>'10.Grain Production details'!A93</f>
        <v>Red Gram/Tur</v>
      </c>
      <c r="B10" s="205"/>
      <c r="C10" s="258">
        <f>'10.Grain Production details'!B93</f>
        <v>0</v>
      </c>
      <c r="D10" s="258">
        <f>'10.Grain Production details'!C93</f>
        <v>0</v>
      </c>
      <c r="E10" s="258">
        <f>'10.Grain Production details'!D93</f>
        <v>0</v>
      </c>
      <c r="F10" s="258">
        <f>'10.Grain Production details'!E93</f>
        <v>0</v>
      </c>
      <c r="G10" s="258">
        <f>'10.Grain Production details'!F93</f>
        <v>0</v>
      </c>
      <c r="H10" s="258">
        <f>'10.Grain Production details'!G93</f>
        <v>0</v>
      </c>
      <c r="I10" s="258">
        <f>'10.Grain Production details'!H93</f>
        <v>0</v>
      </c>
    </row>
    <row r="11" spans="1:9">
      <c r="A11" s="99" t="str">
        <f>'10.Grain Production details'!A94</f>
        <v>Paddy/Rice</v>
      </c>
      <c r="B11" s="205"/>
      <c r="C11" s="258">
        <f>'10.Grain Production details'!B94</f>
        <v>0</v>
      </c>
      <c r="D11" s="258">
        <f>'10.Grain Production details'!C94</f>
        <v>0</v>
      </c>
      <c r="E11" s="258">
        <f>'10.Grain Production details'!D94</f>
        <v>0</v>
      </c>
      <c r="F11" s="258">
        <f>'10.Grain Production details'!E94</f>
        <v>0</v>
      </c>
      <c r="G11" s="258">
        <f>'10.Grain Production details'!F94</f>
        <v>0</v>
      </c>
      <c r="H11" s="258">
        <f>'10.Grain Production details'!G94</f>
        <v>0</v>
      </c>
      <c r="I11" s="258">
        <f>'10.Grain Production details'!H94</f>
        <v>0</v>
      </c>
    </row>
    <row r="12" spans="1:9">
      <c r="A12" s="99" t="str">
        <f>'10.Grain Production details'!A95</f>
        <v>Green Gram/ Moong</v>
      </c>
      <c r="B12" s="205"/>
      <c r="C12" s="258">
        <f>'10.Grain Production details'!B95</f>
        <v>0</v>
      </c>
      <c r="D12" s="258">
        <f>'10.Grain Production details'!C95</f>
        <v>0</v>
      </c>
      <c r="E12" s="258">
        <f>'10.Grain Production details'!D95</f>
        <v>0</v>
      </c>
      <c r="F12" s="258">
        <f>'10.Grain Production details'!E95</f>
        <v>0</v>
      </c>
      <c r="G12" s="258">
        <f>'10.Grain Production details'!F95</f>
        <v>0</v>
      </c>
      <c r="H12" s="258">
        <f>'10.Grain Production details'!G95</f>
        <v>0</v>
      </c>
      <c r="I12" s="258">
        <f>'10.Grain Production details'!H95</f>
        <v>0</v>
      </c>
    </row>
    <row r="13" spans="1:9">
      <c r="A13" s="99" t="str">
        <f>'10.Grain Production details'!A96</f>
        <v>Maize</v>
      </c>
      <c r="B13" s="205"/>
      <c r="C13" s="258">
        <f>'10.Grain Production details'!B96</f>
        <v>0</v>
      </c>
      <c r="D13" s="258">
        <f>'10.Grain Production details'!C96</f>
        <v>0</v>
      </c>
      <c r="E13" s="258">
        <f>'10.Grain Production details'!D96</f>
        <v>0</v>
      </c>
      <c r="F13" s="258">
        <f>'10.Grain Production details'!E96</f>
        <v>0</v>
      </c>
      <c r="G13" s="258">
        <f>'10.Grain Production details'!F96</f>
        <v>0</v>
      </c>
      <c r="H13" s="258">
        <f>'10.Grain Production details'!G96</f>
        <v>0</v>
      </c>
      <c r="I13" s="258">
        <f>'10.Grain Production details'!H96</f>
        <v>0</v>
      </c>
    </row>
    <row r="14" spans="1:9">
      <c r="A14" s="99" t="str">
        <f>'10.Grain Production details'!A97</f>
        <v>Black Gram/Udid</v>
      </c>
      <c r="B14" s="205"/>
      <c r="C14" s="258">
        <f>'10.Grain Production details'!B97</f>
        <v>0</v>
      </c>
      <c r="D14" s="258">
        <f>'10.Grain Production details'!C97</f>
        <v>0</v>
      </c>
      <c r="E14" s="258">
        <f>'10.Grain Production details'!D97</f>
        <v>0</v>
      </c>
      <c r="F14" s="258">
        <f>'10.Grain Production details'!E97</f>
        <v>0</v>
      </c>
      <c r="G14" s="258">
        <f>'10.Grain Production details'!F97</f>
        <v>0</v>
      </c>
      <c r="H14" s="258">
        <f>'10.Grain Production details'!G97</f>
        <v>0</v>
      </c>
      <c r="I14" s="258">
        <f>'10.Grain Production details'!H97</f>
        <v>0</v>
      </c>
    </row>
    <row r="15" spans="1:9">
      <c r="A15" s="99" t="str">
        <f>'10.Grain Production details'!A98</f>
        <v>Bajra</v>
      </c>
      <c r="B15" s="205"/>
      <c r="C15" s="258">
        <f>'10.Grain Production details'!B98</f>
        <v>0</v>
      </c>
      <c r="D15" s="258">
        <f>'10.Grain Production details'!C98</f>
        <v>0</v>
      </c>
      <c r="E15" s="258">
        <f>'10.Grain Production details'!D98</f>
        <v>0</v>
      </c>
      <c r="F15" s="258">
        <f>'10.Grain Production details'!E98</f>
        <v>0</v>
      </c>
      <c r="G15" s="258">
        <f>'10.Grain Production details'!F98</f>
        <v>0</v>
      </c>
      <c r="H15" s="258">
        <f>'10.Grain Production details'!G98</f>
        <v>0</v>
      </c>
      <c r="I15" s="258">
        <f>'10.Grain Production details'!H98</f>
        <v>0</v>
      </c>
    </row>
    <row r="16" spans="1:9">
      <c r="A16" s="99" t="str">
        <f>'10.Grain Production details'!A99</f>
        <v>Jawar</v>
      </c>
      <c r="B16" s="205"/>
      <c r="C16" s="258">
        <f>'10.Grain Production details'!B99</f>
        <v>0</v>
      </c>
      <c r="D16" s="258">
        <f>'10.Grain Production details'!C99</f>
        <v>0</v>
      </c>
      <c r="E16" s="258">
        <f>'10.Grain Production details'!D99</f>
        <v>0</v>
      </c>
      <c r="F16" s="258">
        <f>'10.Grain Production details'!E99</f>
        <v>0</v>
      </c>
      <c r="G16" s="258">
        <f>'10.Grain Production details'!F99</f>
        <v>0</v>
      </c>
      <c r="H16" s="258">
        <f>'10.Grain Production details'!G99</f>
        <v>0</v>
      </c>
      <c r="I16" s="258">
        <f>'10.Grain Production details'!H99</f>
        <v>0</v>
      </c>
    </row>
    <row r="17" spans="1:9">
      <c r="A17" s="101" t="s">
        <v>184</v>
      </c>
      <c r="B17" s="205"/>
      <c r="C17" s="258"/>
      <c r="D17" s="258"/>
      <c r="E17" s="258"/>
      <c r="F17" s="258"/>
      <c r="G17" s="258"/>
      <c r="H17" s="258"/>
      <c r="I17" s="258"/>
    </row>
    <row r="18" spans="1:9">
      <c r="A18" s="99" t="str">
        <f>'10.Grain Production details'!A101</f>
        <v>Wheat</v>
      </c>
      <c r="B18" s="205"/>
      <c r="C18" s="258">
        <f>'10.Grain Production details'!B101</f>
        <v>0</v>
      </c>
      <c r="D18" s="258">
        <f>'10.Grain Production details'!C101</f>
        <v>0</v>
      </c>
      <c r="E18" s="258">
        <f>'10.Grain Production details'!D101</f>
        <v>0</v>
      </c>
      <c r="F18" s="258">
        <f>'10.Grain Production details'!E101</f>
        <v>0</v>
      </c>
      <c r="G18" s="258">
        <f>'10.Grain Production details'!F101</f>
        <v>0</v>
      </c>
      <c r="H18" s="258">
        <f>'10.Grain Production details'!G101</f>
        <v>0</v>
      </c>
      <c r="I18" s="258">
        <f>'10.Grain Production details'!H101</f>
        <v>0</v>
      </c>
    </row>
    <row r="19" spans="1:9">
      <c r="A19" s="99" t="str">
        <f>'10.Grain Production details'!A102</f>
        <v>Bengal Gram/Channa</v>
      </c>
      <c r="B19" s="205"/>
      <c r="C19" s="258">
        <f>'10.Grain Production details'!B102</f>
        <v>0</v>
      </c>
      <c r="D19" s="258">
        <f>'10.Grain Production details'!C102</f>
        <v>0</v>
      </c>
      <c r="E19" s="258">
        <f>'10.Grain Production details'!D102</f>
        <v>0</v>
      </c>
      <c r="F19" s="258">
        <f>'10.Grain Production details'!E102</f>
        <v>0</v>
      </c>
      <c r="G19" s="258">
        <f>'10.Grain Production details'!F102</f>
        <v>0</v>
      </c>
      <c r="H19" s="258">
        <f>'10.Grain Production details'!G102</f>
        <v>0</v>
      </c>
      <c r="I19" s="258">
        <f>'10.Grain Production details'!H102</f>
        <v>0</v>
      </c>
    </row>
    <row r="20" spans="1:9">
      <c r="A20" s="99" t="str">
        <f>'10.Grain Production details'!A103</f>
        <v>Jawar</v>
      </c>
      <c r="B20" s="205"/>
      <c r="C20" s="258">
        <f>'10.Grain Production details'!B103</f>
        <v>0</v>
      </c>
      <c r="D20" s="258">
        <f>'10.Grain Production details'!C103</f>
        <v>0</v>
      </c>
      <c r="E20" s="258">
        <f>'10.Grain Production details'!D103</f>
        <v>0</v>
      </c>
      <c r="F20" s="258">
        <f>'10.Grain Production details'!E103</f>
        <v>0</v>
      </c>
      <c r="G20" s="258">
        <f>'10.Grain Production details'!F103</f>
        <v>0</v>
      </c>
      <c r="H20" s="258">
        <f>'10.Grain Production details'!G103</f>
        <v>0</v>
      </c>
      <c r="I20" s="258">
        <f>'10.Grain Production details'!H103</f>
        <v>0</v>
      </c>
    </row>
    <row r="21" spans="1:9">
      <c r="A21" s="99" t="str">
        <f>'10.Grain Production details'!A104</f>
        <v>Maize</v>
      </c>
      <c r="B21" s="205"/>
      <c r="C21" s="258">
        <f>'10.Grain Production details'!B104</f>
        <v>0</v>
      </c>
      <c r="D21" s="258">
        <f>'10.Grain Production details'!C104</f>
        <v>0</v>
      </c>
      <c r="E21" s="258">
        <f>'10.Grain Production details'!D104</f>
        <v>0</v>
      </c>
      <c r="F21" s="258">
        <f>'10.Grain Production details'!E104</f>
        <v>0</v>
      </c>
      <c r="G21" s="258">
        <f>'10.Grain Production details'!F104</f>
        <v>0</v>
      </c>
      <c r="H21" s="258">
        <f>'10.Grain Production details'!G104</f>
        <v>0</v>
      </c>
      <c r="I21" s="258">
        <f>'10.Grain Production details'!H104</f>
        <v>0</v>
      </c>
    </row>
    <row r="22" spans="1:9">
      <c r="A22" s="99" t="str">
        <f>'10.Grain Production details'!A105</f>
        <v>Safflower</v>
      </c>
      <c r="B22" s="205"/>
      <c r="C22" s="258">
        <f>'10.Grain Production details'!B105</f>
        <v>0</v>
      </c>
      <c r="D22" s="258">
        <f>'10.Grain Production details'!C105</f>
        <v>0</v>
      </c>
      <c r="E22" s="258">
        <f>'10.Grain Production details'!D105</f>
        <v>0</v>
      </c>
      <c r="F22" s="258">
        <f>'10.Grain Production details'!E105</f>
        <v>0</v>
      </c>
      <c r="G22" s="258">
        <f>'10.Grain Production details'!F105</f>
        <v>0</v>
      </c>
      <c r="H22" s="258">
        <f>'10.Grain Production details'!G105</f>
        <v>0</v>
      </c>
      <c r="I22" s="258">
        <f>'10.Grain Production details'!H105</f>
        <v>0</v>
      </c>
    </row>
    <row r="23" spans="1:9">
      <c r="A23" s="99">
        <f>'10.Grain Production details'!A106</f>
        <v>0</v>
      </c>
      <c r="B23" s="205"/>
      <c r="C23" s="258">
        <f>'10.Grain Production details'!B106</f>
        <v>0</v>
      </c>
      <c r="D23" s="258">
        <f>'10.Grain Production details'!C106</f>
        <v>0</v>
      </c>
      <c r="E23" s="258">
        <f>'10.Grain Production details'!D106</f>
        <v>0</v>
      </c>
      <c r="F23" s="258">
        <f>'10.Grain Production details'!E106</f>
        <v>0</v>
      </c>
      <c r="G23" s="258">
        <f>'10.Grain Production details'!F106</f>
        <v>0</v>
      </c>
      <c r="H23" s="258">
        <f>'10.Grain Production details'!G106</f>
        <v>0</v>
      </c>
      <c r="I23" s="258">
        <f>'10.Grain Production details'!H106</f>
        <v>0</v>
      </c>
    </row>
    <row r="24" spans="1:9">
      <c r="A24" s="99">
        <f>'10.Grain Production details'!A107</f>
        <v>0</v>
      </c>
      <c r="B24" s="205"/>
      <c r="C24" s="258">
        <f>'10.Grain Production details'!B107</f>
        <v>0</v>
      </c>
      <c r="D24" s="258">
        <f>'10.Grain Production details'!C107</f>
        <v>0</v>
      </c>
      <c r="E24" s="258">
        <f>'10.Grain Production details'!D107</f>
        <v>0</v>
      </c>
      <c r="F24" s="258">
        <f>'10.Grain Production details'!E107</f>
        <v>0</v>
      </c>
      <c r="G24" s="258">
        <f>'10.Grain Production details'!F107</f>
        <v>0</v>
      </c>
      <c r="H24" s="258">
        <f>'10.Grain Production details'!G107</f>
        <v>0</v>
      </c>
      <c r="I24" s="258">
        <f>'10.Grain Production details'!H107</f>
        <v>0</v>
      </c>
    </row>
    <row r="25" spans="1:9">
      <c r="A25" s="99">
        <f>'10.Grain Production details'!A108</f>
        <v>0</v>
      </c>
      <c r="B25" s="205"/>
      <c r="C25" s="258">
        <f>'10.Grain Production details'!B108</f>
        <v>0</v>
      </c>
      <c r="D25" s="258">
        <f>'10.Grain Production details'!C108</f>
        <v>0</v>
      </c>
      <c r="E25" s="258">
        <f>'10.Grain Production details'!D108</f>
        <v>0</v>
      </c>
      <c r="F25" s="258">
        <f>'10.Grain Production details'!E108</f>
        <v>0</v>
      </c>
      <c r="G25" s="258">
        <f>'10.Grain Production details'!F108</f>
        <v>0</v>
      </c>
      <c r="H25" s="258">
        <f>'10.Grain Production details'!G108</f>
        <v>0</v>
      </c>
      <c r="I25" s="258">
        <f>'10.Grain Production details'!H108</f>
        <v>0</v>
      </c>
    </row>
    <row r="26" spans="1:9">
      <c r="A26" s="101" t="str">
        <f>'10.Grain Production details'!A33</f>
        <v>Summer</v>
      </c>
      <c r="B26" s="205"/>
      <c r="C26" s="258"/>
      <c r="D26" s="258"/>
      <c r="E26" s="258"/>
      <c r="F26" s="258"/>
      <c r="G26" s="258"/>
      <c r="H26" s="258"/>
      <c r="I26" s="258"/>
    </row>
    <row r="27" spans="1:9">
      <c r="A27" s="99" t="str">
        <f>'10.Grain Production details'!A109</f>
        <v>Groundnut</v>
      </c>
      <c r="B27" s="205"/>
      <c r="C27" s="258">
        <f>'10.Grain Production details'!B110</f>
        <v>0</v>
      </c>
      <c r="D27" s="258">
        <f>'10.Grain Production details'!C110</f>
        <v>0</v>
      </c>
      <c r="E27" s="258">
        <f>'10.Grain Production details'!D110</f>
        <v>0</v>
      </c>
      <c r="F27" s="258">
        <f>'10.Grain Production details'!E110</f>
        <v>0</v>
      </c>
      <c r="G27" s="258">
        <f>'10.Grain Production details'!F110</f>
        <v>0</v>
      </c>
      <c r="H27" s="258">
        <f>'10.Grain Production details'!G110</f>
        <v>0</v>
      </c>
      <c r="I27" s="258">
        <f>'10.Grain Production details'!H110</f>
        <v>0</v>
      </c>
    </row>
    <row r="28" spans="1:9">
      <c r="A28" s="99">
        <f>'10.Grain Production details'!A110</f>
        <v>0</v>
      </c>
      <c r="B28" s="205"/>
      <c r="C28" s="258">
        <f>'10.Grain Production details'!B111</f>
        <v>0</v>
      </c>
      <c r="D28" s="258">
        <f>'10.Grain Production details'!C111</f>
        <v>0</v>
      </c>
      <c r="E28" s="258">
        <f>'10.Grain Production details'!D111</f>
        <v>0</v>
      </c>
      <c r="F28" s="258">
        <f>'10.Grain Production details'!E111</f>
        <v>0</v>
      </c>
      <c r="G28" s="258">
        <f>'10.Grain Production details'!F111</f>
        <v>0</v>
      </c>
      <c r="H28" s="258">
        <f>'10.Grain Production details'!G111</f>
        <v>0</v>
      </c>
      <c r="I28" s="258">
        <f>'10.Grain Production details'!H111</f>
        <v>0</v>
      </c>
    </row>
    <row r="29" spans="1:9">
      <c r="A29" s="99">
        <f>'10.Grain Production details'!A111</f>
        <v>0</v>
      </c>
      <c r="B29" s="205"/>
      <c r="C29" s="258">
        <f>'10.Grain Production details'!B112</f>
        <v>0</v>
      </c>
      <c r="D29" s="258">
        <f>'10.Grain Production details'!C112</f>
        <v>0</v>
      </c>
      <c r="E29" s="258">
        <f>'10.Grain Production details'!D112</f>
        <v>0</v>
      </c>
      <c r="F29" s="258">
        <f>'10.Grain Production details'!E112</f>
        <v>0</v>
      </c>
      <c r="G29" s="258">
        <f>'10.Grain Production details'!F112</f>
        <v>0</v>
      </c>
      <c r="H29" s="258">
        <f>'10.Grain Production details'!G112</f>
        <v>0</v>
      </c>
      <c r="I29" s="258">
        <f>'10.Grain Production details'!H112</f>
        <v>0</v>
      </c>
    </row>
    <row r="30" spans="1:9">
      <c r="A30" s="99">
        <f>'10.Grain Production details'!A112</f>
        <v>0</v>
      </c>
      <c r="B30" s="205"/>
      <c r="C30" s="258">
        <f>'10.Grain Production details'!B113</f>
        <v>0</v>
      </c>
      <c r="D30" s="258">
        <f>'10.Grain Production details'!C113</f>
        <v>0</v>
      </c>
      <c r="E30" s="258">
        <f>'10.Grain Production details'!D113</f>
        <v>0</v>
      </c>
      <c r="F30" s="258">
        <f>'10.Grain Production details'!E113</f>
        <v>0</v>
      </c>
      <c r="G30" s="258">
        <f>'10.Grain Production details'!F113</f>
        <v>0</v>
      </c>
      <c r="H30" s="258">
        <f>'10.Grain Production details'!G113</f>
        <v>0</v>
      </c>
      <c r="I30" s="258">
        <f>'10.Grain Production details'!H113</f>
        <v>0</v>
      </c>
    </row>
    <row r="31" spans="1:9">
      <c r="A31" s="99">
        <f>'10.Grain Production details'!A113</f>
        <v>0</v>
      </c>
      <c r="B31" s="205"/>
      <c r="C31" s="258">
        <f>'10.Grain Production details'!C114</f>
        <v>0</v>
      </c>
      <c r="D31" s="258">
        <f>'10.Grain Production details'!D114</f>
        <v>0</v>
      </c>
      <c r="E31" s="258">
        <f>'10.Grain Production details'!E114</f>
        <v>0</v>
      </c>
      <c r="F31" s="258">
        <f>'10.Grain Production details'!F114</f>
        <v>0</v>
      </c>
      <c r="G31" s="258">
        <f>'10.Grain Production details'!G114</f>
        <v>0</v>
      </c>
      <c r="H31" s="258">
        <f>'10.Grain Production details'!H114</f>
        <v>0</v>
      </c>
      <c r="I31" s="258">
        <f>'10.Grain Production details'!I114</f>
        <v>0</v>
      </c>
    </row>
    <row r="32" spans="1:9">
      <c r="A32" s="101" t="str">
        <f>'11.F&amp;V Crop Production details'!A1:H1</f>
        <v>Fruit  &amp; Vegetables Crop Production Details</v>
      </c>
      <c r="B32" s="205"/>
      <c r="C32" s="258"/>
      <c r="D32" s="258"/>
      <c r="E32" s="258"/>
      <c r="F32" s="258"/>
      <c r="G32" s="258"/>
      <c r="H32" s="258"/>
      <c r="I32" s="258"/>
    </row>
    <row r="33" spans="1:9">
      <c r="A33" s="99" t="str">
        <f>'11.F&amp;V Crop Production details'!A102</f>
        <v>Onion</v>
      </c>
      <c r="B33" s="205"/>
      <c r="C33" s="258">
        <f>'11.F&amp;V Crop Production details'!B102</f>
        <v>0</v>
      </c>
      <c r="D33" s="258">
        <f>'11.F&amp;V Crop Production details'!C102</f>
        <v>0</v>
      </c>
      <c r="E33" s="258">
        <f>'11.F&amp;V Crop Production details'!D102</f>
        <v>0</v>
      </c>
      <c r="F33" s="258">
        <f>'11.F&amp;V Crop Production details'!E102</f>
        <v>0</v>
      </c>
      <c r="G33" s="258">
        <f>'11.F&amp;V Crop Production details'!F102</f>
        <v>0</v>
      </c>
      <c r="H33" s="258">
        <f>'11.F&amp;V Crop Production details'!G102</f>
        <v>0</v>
      </c>
      <c r="I33" s="258">
        <f>'11.F&amp;V Crop Production details'!H102</f>
        <v>0</v>
      </c>
    </row>
    <row r="34" spans="1:9">
      <c r="A34" s="99" t="str">
        <f>'11.F&amp;V Crop Production details'!A103</f>
        <v>Tomato</v>
      </c>
      <c r="B34" s="205"/>
      <c r="C34" s="258">
        <f>'11.F&amp;V Crop Production details'!B103</f>
        <v>0</v>
      </c>
      <c r="D34" s="258">
        <f>'11.F&amp;V Crop Production details'!C103</f>
        <v>0</v>
      </c>
      <c r="E34" s="258">
        <f>'11.F&amp;V Crop Production details'!D103</f>
        <v>0</v>
      </c>
      <c r="F34" s="258">
        <f>'11.F&amp;V Crop Production details'!E103</f>
        <v>0</v>
      </c>
      <c r="G34" s="258">
        <f>'11.F&amp;V Crop Production details'!F103</f>
        <v>0</v>
      </c>
      <c r="H34" s="258">
        <f>'11.F&amp;V Crop Production details'!G103</f>
        <v>0</v>
      </c>
      <c r="I34" s="258">
        <f>'11.F&amp;V Crop Production details'!H103</f>
        <v>0</v>
      </c>
    </row>
    <row r="35" spans="1:9">
      <c r="A35" s="99" t="str">
        <f>'11.F&amp;V Crop Production details'!A104</f>
        <v>Okra</v>
      </c>
      <c r="B35" s="205"/>
      <c r="C35" s="258">
        <f>'11.F&amp;V Crop Production details'!B104</f>
        <v>0</v>
      </c>
      <c r="D35" s="258">
        <f>'11.F&amp;V Crop Production details'!C104</f>
        <v>0</v>
      </c>
      <c r="E35" s="258">
        <f>'11.F&amp;V Crop Production details'!D104</f>
        <v>0</v>
      </c>
      <c r="F35" s="258">
        <f>'11.F&amp;V Crop Production details'!E104</f>
        <v>0</v>
      </c>
      <c r="G35" s="258">
        <f>'11.F&amp;V Crop Production details'!F104</f>
        <v>0</v>
      </c>
      <c r="H35" s="258">
        <f>'11.F&amp;V Crop Production details'!G104</f>
        <v>0</v>
      </c>
      <c r="I35" s="258">
        <f>'11.F&amp;V Crop Production details'!H104</f>
        <v>0</v>
      </c>
    </row>
    <row r="36" spans="1:9">
      <c r="A36" s="99" t="str">
        <f>'11.F&amp;V Crop Production details'!A105</f>
        <v>Chilli</v>
      </c>
      <c r="B36" s="205"/>
      <c r="C36" s="258">
        <f>'11.F&amp;V Crop Production details'!B105</f>
        <v>0</v>
      </c>
      <c r="D36" s="258">
        <f>'11.F&amp;V Crop Production details'!C105</f>
        <v>0</v>
      </c>
      <c r="E36" s="258">
        <f>'11.F&amp;V Crop Production details'!D105</f>
        <v>0</v>
      </c>
      <c r="F36" s="258">
        <f>'11.F&amp;V Crop Production details'!E105</f>
        <v>0</v>
      </c>
      <c r="G36" s="258">
        <f>'11.F&amp;V Crop Production details'!F105</f>
        <v>0</v>
      </c>
      <c r="H36" s="258">
        <f>'11.F&amp;V Crop Production details'!G105</f>
        <v>0</v>
      </c>
      <c r="I36" s="258">
        <f>'11.F&amp;V Crop Production details'!H105</f>
        <v>0</v>
      </c>
    </row>
    <row r="37" spans="1:9">
      <c r="A37" s="99" t="str">
        <f>'11.F&amp;V Crop Production details'!A106</f>
        <v>Potato</v>
      </c>
      <c r="B37" s="205"/>
      <c r="C37" s="258">
        <f>'11.F&amp;V Crop Production details'!B106</f>
        <v>0</v>
      </c>
      <c r="D37" s="258">
        <f>'11.F&amp;V Crop Production details'!C106</f>
        <v>0</v>
      </c>
      <c r="E37" s="258">
        <f>'11.F&amp;V Crop Production details'!D106</f>
        <v>0</v>
      </c>
      <c r="F37" s="258">
        <f>'11.F&amp;V Crop Production details'!E106</f>
        <v>0</v>
      </c>
      <c r="G37" s="258">
        <f>'11.F&amp;V Crop Production details'!F106</f>
        <v>0</v>
      </c>
      <c r="H37" s="258">
        <f>'11.F&amp;V Crop Production details'!G106</f>
        <v>0</v>
      </c>
      <c r="I37" s="258">
        <f>'11.F&amp;V Crop Production details'!H106</f>
        <v>0</v>
      </c>
    </row>
    <row r="38" spans="1:9">
      <c r="A38" s="99">
        <f>'11.F&amp;V Crop Production details'!A107</f>
        <v>0</v>
      </c>
      <c r="B38" s="205"/>
      <c r="C38" s="258">
        <f>'11.F&amp;V Crop Production details'!B107</f>
        <v>0</v>
      </c>
      <c r="D38" s="258">
        <f>'11.F&amp;V Crop Production details'!C107</f>
        <v>0</v>
      </c>
      <c r="E38" s="258">
        <f>'11.F&amp;V Crop Production details'!D107</f>
        <v>0</v>
      </c>
      <c r="F38" s="258">
        <f>'11.F&amp;V Crop Production details'!E107</f>
        <v>0</v>
      </c>
      <c r="G38" s="258">
        <f>'11.F&amp;V Crop Production details'!F107</f>
        <v>0</v>
      </c>
      <c r="H38" s="258">
        <f>'11.F&amp;V Crop Production details'!G107</f>
        <v>0</v>
      </c>
      <c r="I38" s="258">
        <f>'11.F&amp;V Crop Production details'!H107</f>
        <v>0</v>
      </c>
    </row>
    <row r="39" spans="1:9">
      <c r="A39" s="99">
        <f>'11.F&amp;V Crop Production details'!A108</f>
        <v>0</v>
      </c>
      <c r="B39" s="205"/>
      <c r="C39" s="258">
        <f>'11.F&amp;V Crop Production details'!B108</f>
        <v>0</v>
      </c>
      <c r="D39" s="258">
        <f>'11.F&amp;V Crop Production details'!C108</f>
        <v>0</v>
      </c>
      <c r="E39" s="258">
        <f>'11.F&amp;V Crop Production details'!D108</f>
        <v>0</v>
      </c>
      <c r="F39" s="258">
        <f>'11.F&amp;V Crop Production details'!E108</f>
        <v>0</v>
      </c>
      <c r="G39" s="258">
        <f>'11.F&amp;V Crop Production details'!F108</f>
        <v>0</v>
      </c>
      <c r="H39" s="258">
        <f>'11.F&amp;V Crop Production details'!G108</f>
        <v>0</v>
      </c>
      <c r="I39" s="258">
        <f>'11.F&amp;V Crop Production details'!H108</f>
        <v>0</v>
      </c>
    </row>
    <row r="40" spans="1:9">
      <c r="A40" s="99">
        <f>'11.F&amp;V Crop Production details'!A109</f>
        <v>0</v>
      </c>
      <c r="B40" s="205"/>
      <c r="C40" s="258">
        <f>'11.F&amp;V Crop Production details'!B109</f>
        <v>0</v>
      </c>
      <c r="D40" s="258">
        <f>'11.F&amp;V Crop Production details'!C109</f>
        <v>0</v>
      </c>
      <c r="E40" s="258">
        <f>'11.F&amp;V Crop Production details'!D109</f>
        <v>0</v>
      </c>
      <c r="F40" s="258">
        <f>'11.F&amp;V Crop Production details'!E109</f>
        <v>0</v>
      </c>
      <c r="G40" s="258">
        <f>'11.F&amp;V Crop Production details'!F109</f>
        <v>0</v>
      </c>
      <c r="H40" s="258">
        <f>'11.F&amp;V Crop Production details'!G109</f>
        <v>0</v>
      </c>
      <c r="I40" s="258">
        <f>'11.F&amp;V Crop Production details'!H109</f>
        <v>0</v>
      </c>
    </row>
    <row r="41" spans="1:9">
      <c r="A41" s="99">
        <f>'11.F&amp;V Crop Production details'!A110</f>
        <v>0</v>
      </c>
      <c r="B41" s="205"/>
      <c r="C41" s="258">
        <f>'11.F&amp;V Crop Production details'!B110</f>
        <v>0</v>
      </c>
      <c r="D41" s="258">
        <f>'11.F&amp;V Crop Production details'!C110</f>
        <v>0</v>
      </c>
      <c r="E41" s="258">
        <f>'11.F&amp;V Crop Production details'!D110</f>
        <v>0</v>
      </c>
      <c r="F41" s="258">
        <f>'11.F&amp;V Crop Production details'!E110</f>
        <v>0</v>
      </c>
      <c r="G41" s="258">
        <f>'11.F&amp;V Crop Production details'!F110</f>
        <v>0</v>
      </c>
      <c r="H41" s="258">
        <f>'11.F&amp;V Crop Production details'!G110</f>
        <v>0</v>
      </c>
      <c r="I41" s="258">
        <f>'11.F&amp;V Crop Production details'!H110</f>
        <v>0</v>
      </c>
    </row>
    <row r="42" spans="1:9">
      <c r="A42" s="99" t="str">
        <f>'11.F&amp;V Crop Production details'!A111</f>
        <v>Onion</v>
      </c>
      <c r="B42" s="205"/>
      <c r="C42" s="258">
        <f>'11.F&amp;V Crop Production details'!B111</f>
        <v>0</v>
      </c>
      <c r="D42" s="258">
        <f>'11.F&amp;V Crop Production details'!C111</f>
        <v>0</v>
      </c>
      <c r="E42" s="258">
        <f>'11.F&amp;V Crop Production details'!D111</f>
        <v>0</v>
      </c>
      <c r="F42" s="258">
        <f>'11.F&amp;V Crop Production details'!E111</f>
        <v>0</v>
      </c>
      <c r="G42" s="258">
        <f>'11.F&amp;V Crop Production details'!F111</f>
        <v>0</v>
      </c>
      <c r="H42" s="258">
        <f>'11.F&amp;V Crop Production details'!G111</f>
        <v>0</v>
      </c>
      <c r="I42" s="258">
        <f>'11.F&amp;V Crop Production details'!H111</f>
        <v>0</v>
      </c>
    </row>
    <row r="43" spans="1:9">
      <c r="A43" s="99" t="str">
        <f>'11.F&amp;V Crop Production details'!A112</f>
        <v>Tomato</v>
      </c>
      <c r="B43" s="205"/>
      <c r="C43" s="258">
        <f>'11.F&amp;V Crop Production details'!B112</f>
        <v>0</v>
      </c>
      <c r="D43" s="258">
        <f>'11.F&amp;V Crop Production details'!C112</f>
        <v>0</v>
      </c>
      <c r="E43" s="258">
        <f>'11.F&amp;V Crop Production details'!D112</f>
        <v>0</v>
      </c>
      <c r="F43" s="258">
        <f>'11.F&amp;V Crop Production details'!E112</f>
        <v>0</v>
      </c>
      <c r="G43" s="258">
        <f>'11.F&amp;V Crop Production details'!F112</f>
        <v>0</v>
      </c>
      <c r="H43" s="258">
        <f>'11.F&amp;V Crop Production details'!G112</f>
        <v>0</v>
      </c>
      <c r="I43" s="258">
        <f>'11.F&amp;V Crop Production details'!H112</f>
        <v>0</v>
      </c>
    </row>
    <row r="44" spans="1:9">
      <c r="A44" s="99" t="str">
        <f>'11.F&amp;V Crop Production details'!A113</f>
        <v>Okra</v>
      </c>
      <c r="B44" s="205"/>
      <c r="C44" s="258">
        <f>'11.F&amp;V Crop Production details'!B113</f>
        <v>0</v>
      </c>
      <c r="D44" s="258">
        <f>'11.F&amp;V Crop Production details'!C113</f>
        <v>0</v>
      </c>
      <c r="E44" s="258">
        <f>'11.F&amp;V Crop Production details'!D113</f>
        <v>0</v>
      </c>
      <c r="F44" s="258">
        <f>'11.F&amp;V Crop Production details'!E113</f>
        <v>0</v>
      </c>
      <c r="G44" s="258">
        <f>'11.F&amp;V Crop Production details'!F113</f>
        <v>0</v>
      </c>
      <c r="H44" s="258">
        <f>'11.F&amp;V Crop Production details'!G113</f>
        <v>0</v>
      </c>
      <c r="I44" s="258">
        <f>'11.F&amp;V Crop Production details'!H113</f>
        <v>0</v>
      </c>
    </row>
    <row r="45" spans="1:9">
      <c r="A45" s="99" t="str">
        <f>'11.F&amp;V Crop Production details'!A114</f>
        <v>Chilli</v>
      </c>
      <c r="B45" s="205"/>
      <c r="C45" s="258">
        <f>'11.F&amp;V Crop Production details'!B114</f>
        <v>0</v>
      </c>
      <c r="D45" s="258">
        <f>'11.F&amp;V Crop Production details'!C114</f>
        <v>0</v>
      </c>
      <c r="E45" s="258">
        <f>'11.F&amp;V Crop Production details'!D114</f>
        <v>0</v>
      </c>
      <c r="F45" s="258">
        <f>'11.F&amp;V Crop Production details'!E114</f>
        <v>0</v>
      </c>
      <c r="G45" s="258">
        <f>'11.F&amp;V Crop Production details'!F114</f>
        <v>0</v>
      </c>
      <c r="H45" s="258">
        <f>'11.F&amp;V Crop Production details'!G114</f>
        <v>0</v>
      </c>
      <c r="I45" s="258">
        <f>'11.F&amp;V Crop Production details'!H114</f>
        <v>0</v>
      </c>
    </row>
    <row r="46" spans="1:9">
      <c r="A46" s="99" t="str">
        <f>'11.F&amp;V Crop Production details'!A115</f>
        <v>Brinjal</v>
      </c>
      <c r="B46" s="205"/>
      <c r="C46" s="258">
        <f>'11.F&amp;V Crop Production details'!B115</f>
        <v>0</v>
      </c>
      <c r="D46" s="258">
        <f>'11.F&amp;V Crop Production details'!C115</f>
        <v>0</v>
      </c>
      <c r="E46" s="258">
        <f>'11.F&amp;V Crop Production details'!D115</f>
        <v>0</v>
      </c>
      <c r="F46" s="258">
        <f>'11.F&amp;V Crop Production details'!E115</f>
        <v>0</v>
      </c>
      <c r="G46" s="258">
        <f>'11.F&amp;V Crop Production details'!F115</f>
        <v>0</v>
      </c>
      <c r="H46" s="258">
        <f>'11.F&amp;V Crop Production details'!G115</f>
        <v>0</v>
      </c>
      <c r="I46" s="258">
        <f>'11.F&amp;V Crop Production details'!H115</f>
        <v>0</v>
      </c>
    </row>
    <row r="47" spans="1:9">
      <c r="A47" s="99">
        <f>'11.F&amp;V Crop Production details'!A116</f>
        <v>0</v>
      </c>
      <c r="B47" s="205"/>
      <c r="C47" s="258">
        <f>'11.F&amp;V Crop Production details'!B116</f>
        <v>0</v>
      </c>
      <c r="D47" s="258">
        <f>'11.F&amp;V Crop Production details'!C116</f>
        <v>0</v>
      </c>
      <c r="E47" s="258">
        <f>'11.F&amp;V Crop Production details'!D116</f>
        <v>0</v>
      </c>
      <c r="F47" s="258">
        <f>'11.F&amp;V Crop Production details'!E116</f>
        <v>0</v>
      </c>
      <c r="G47" s="258">
        <f>'11.F&amp;V Crop Production details'!F116</f>
        <v>0</v>
      </c>
      <c r="H47" s="258">
        <f>'11.F&amp;V Crop Production details'!G116</f>
        <v>0</v>
      </c>
      <c r="I47" s="258">
        <f>'11.F&amp;V Crop Production details'!H116</f>
        <v>0</v>
      </c>
    </row>
    <row r="48" spans="1:9">
      <c r="A48" s="99">
        <f>'11.F&amp;V Crop Production details'!A117</f>
        <v>0</v>
      </c>
      <c r="B48" s="205"/>
      <c r="C48" s="258">
        <f>'11.F&amp;V Crop Production details'!B117</f>
        <v>0</v>
      </c>
      <c r="D48" s="258">
        <f>'11.F&amp;V Crop Production details'!C117</f>
        <v>0</v>
      </c>
      <c r="E48" s="258">
        <f>'11.F&amp;V Crop Production details'!D117</f>
        <v>0</v>
      </c>
      <c r="F48" s="258">
        <f>'11.F&amp;V Crop Production details'!E117</f>
        <v>0</v>
      </c>
      <c r="G48" s="258">
        <f>'11.F&amp;V Crop Production details'!F117</f>
        <v>0</v>
      </c>
      <c r="H48" s="258">
        <f>'11.F&amp;V Crop Production details'!G117</f>
        <v>0</v>
      </c>
      <c r="I48" s="258">
        <f>'11.F&amp;V Crop Production details'!H117</f>
        <v>0</v>
      </c>
    </row>
    <row r="49" spans="1:9">
      <c r="A49" s="99">
        <f>'11.F&amp;V Crop Production details'!A118</f>
        <v>0</v>
      </c>
      <c r="B49" s="205"/>
      <c r="C49" s="258">
        <f>'11.F&amp;V Crop Production details'!B118</f>
        <v>0</v>
      </c>
      <c r="D49" s="258">
        <f>'11.F&amp;V Crop Production details'!C118</f>
        <v>0</v>
      </c>
      <c r="E49" s="258">
        <f>'11.F&amp;V Crop Production details'!D118</f>
        <v>0</v>
      </c>
      <c r="F49" s="258">
        <f>'11.F&amp;V Crop Production details'!E118</f>
        <v>0</v>
      </c>
      <c r="G49" s="258">
        <f>'11.F&amp;V Crop Production details'!F118</f>
        <v>0</v>
      </c>
      <c r="H49" s="258">
        <f>'11.F&amp;V Crop Production details'!G118</f>
        <v>0</v>
      </c>
      <c r="I49" s="258">
        <f>'11.F&amp;V Crop Production details'!H118</f>
        <v>0</v>
      </c>
    </row>
    <row r="50" spans="1:9">
      <c r="A50" s="99">
        <f>'11.F&amp;V Crop Production details'!A119</f>
        <v>0</v>
      </c>
      <c r="B50" s="205"/>
      <c r="C50" s="258">
        <f>'11.F&amp;V Crop Production details'!B119</f>
        <v>0</v>
      </c>
      <c r="D50" s="258">
        <f>'11.F&amp;V Crop Production details'!C119</f>
        <v>0</v>
      </c>
      <c r="E50" s="258">
        <f>'11.F&amp;V Crop Production details'!D119</f>
        <v>0</v>
      </c>
      <c r="F50" s="258">
        <f>'11.F&amp;V Crop Production details'!E119</f>
        <v>0</v>
      </c>
      <c r="G50" s="258">
        <f>'11.F&amp;V Crop Production details'!F119</f>
        <v>0</v>
      </c>
      <c r="H50" s="258">
        <f>'11.F&amp;V Crop Production details'!G119</f>
        <v>0</v>
      </c>
      <c r="I50" s="258">
        <f>'11.F&amp;V Crop Production details'!H119</f>
        <v>0</v>
      </c>
    </row>
    <row r="51" spans="1:9">
      <c r="A51" s="99">
        <f>'11.F&amp;V Crop Production details'!A120</f>
        <v>0</v>
      </c>
      <c r="B51" s="205"/>
      <c r="C51" s="258">
        <f>'11.F&amp;V Crop Production details'!B120</f>
        <v>0</v>
      </c>
      <c r="D51" s="258">
        <f>'11.F&amp;V Crop Production details'!C120</f>
        <v>0</v>
      </c>
      <c r="E51" s="258">
        <f>'11.F&amp;V Crop Production details'!D120</f>
        <v>0</v>
      </c>
      <c r="F51" s="258">
        <f>'11.F&amp;V Crop Production details'!E120</f>
        <v>0</v>
      </c>
      <c r="G51" s="258">
        <f>'11.F&amp;V Crop Production details'!F120</f>
        <v>0</v>
      </c>
      <c r="H51" s="258">
        <f>'11.F&amp;V Crop Production details'!G120</f>
        <v>0</v>
      </c>
      <c r="I51" s="258">
        <f>'11.F&amp;V Crop Production details'!H120</f>
        <v>0</v>
      </c>
    </row>
    <row r="52" spans="1:9">
      <c r="A52" s="99">
        <f>'11.F&amp;V Crop Production details'!A121</f>
        <v>0</v>
      </c>
      <c r="B52" s="205"/>
      <c r="C52" s="258">
        <f>'11.F&amp;V Crop Production details'!B121</f>
        <v>0</v>
      </c>
      <c r="D52" s="258">
        <f>'11.F&amp;V Crop Production details'!C121</f>
        <v>0</v>
      </c>
      <c r="E52" s="258">
        <f>'11.F&amp;V Crop Production details'!D121</f>
        <v>0</v>
      </c>
      <c r="F52" s="258">
        <f>'11.F&amp;V Crop Production details'!E121</f>
        <v>0</v>
      </c>
      <c r="G52" s="258">
        <f>'11.F&amp;V Crop Production details'!F121</f>
        <v>0</v>
      </c>
      <c r="H52" s="258">
        <f>'11.F&amp;V Crop Production details'!G121</f>
        <v>0</v>
      </c>
      <c r="I52" s="258">
        <f>'11.F&amp;V Crop Production details'!H121</f>
        <v>0</v>
      </c>
    </row>
    <row r="53" spans="1:9">
      <c r="A53" s="99">
        <f>'11.F&amp;V Crop Production details'!A122</f>
        <v>0</v>
      </c>
      <c r="B53" s="205"/>
      <c r="C53" s="258">
        <f>'11.F&amp;V Crop Production details'!B122</f>
        <v>0</v>
      </c>
      <c r="D53" s="258">
        <f>'11.F&amp;V Crop Production details'!C122</f>
        <v>0</v>
      </c>
      <c r="E53" s="258">
        <f>'11.F&amp;V Crop Production details'!D122</f>
        <v>0</v>
      </c>
      <c r="F53" s="258">
        <f>'11.F&amp;V Crop Production details'!E122</f>
        <v>0</v>
      </c>
      <c r="G53" s="258">
        <f>'11.F&amp;V Crop Production details'!F122</f>
        <v>0</v>
      </c>
      <c r="H53" s="258">
        <f>'11.F&amp;V Crop Production details'!G122</f>
        <v>0</v>
      </c>
      <c r="I53" s="258">
        <f>'11.F&amp;V Crop Production details'!H122</f>
        <v>0</v>
      </c>
    </row>
    <row r="54" spans="1:9">
      <c r="A54" s="99" t="str">
        <f>'11.F&amp;V Crop Production details'!A123</f>
        <v>Pomegranate</v>
      </c>
      <c r="B54" s="205"/>
      <c r="C54" s="258">
        <f>'11.F&amp;V Crop Production details'!B123</f>
        <v>0</v>
      </c>
      <c r="D54" s="258">
        <f>'11.F&amp;V Crop Production details'!C123</f>
        <v>0</v>
      </c>
      <c r="E54" s="258">
        <f>'11.F&amp;V Crop Production details'!D123</f>
        <v>0</v>
      </c>
      <c r="F54" s="258">
        <f>'11.F&amp;V Crop Production details'!E123</f>
        <v>0</v>
      </c>
      <c r="G54" s="258">
        <f>'11.F&amp;V Crop Production details'!F123</f>
        <v>0</v>
      </c>
      <c r="H54" s="258">
        <f>'11.F&amp;V Crop Production details'!G123</f>
        <v>0</v>
      </c>
      <c r="I54" s="258">
        <f>'11.F&amp;V Crop Production details'!H123</f>
        <v>0</v>
      </c>
    </row>
    <row r="55" spans="1:9">
      <c r="A55" s="99" t="str">
        <f>'11.F&amp;V Crop Production details'!A124</f>
        <v>Custard Apple</v>
      </c>
      <c r="B55" s="205"/>
      <c r="C55" s="258">
        <f>'11.F&amp;V Crop Production details'!B124</f>
        <v>0</v>
      </c>
      <c r="D55" s="258">
        <f>'11.F&amp;V Crop Production details'!C124</f>
        <v>0</v>
      </c>
      <c r="E55" s="258">
        <f>'11.F&amp;V Crop Production details'!D124</f>
        <v>0</v>
      </c>
      <c r="F55" s="258">
        <f>'11.F&amp;V Crop Production details'!E124</f>
        <v>0</v>
      </c>
      <c r="G55" s="258">
        <f>'11.F&amp;V Crop Production details'!F124</f>
        <v>0</v>
      </c>
      <c r="H55" s="258">
        <f>'11.F&amp;V Crop Production details'!G124</f>
        <v>0</v>
      </c>
      <c r="I55" s="258">
        <f>'11.F&amp;V Crop Production details'!H124</f>
        <v>0</v>
      </c>
    </row>
    <row r="56" spans="1:9">
      <c r="A56" s="99" t="str">
        <f>'11.F&amp;V Crop Production details'!A125</f>
        <v>Guava</v>
      </c>
      <c r="B56" s="205"/>
      <c r="C56" s="258">
        <f>'11.F&amp;V Crop Production details'!B125</f>
        <v>0</v>
      </c>
      <c r="D56" s="258">
        <f>'11.F&amp;V Crop Production details'!C125</f>
        <v>0</v>
      </c>
      <c r="E56" s="258">
        <f>'11.F&amp;V Crop Production details'!D125</f>
        <v>0</v>
      </c>
      <c r="F56" s="258">
        <f>'11.F&amp;V Crop Production details'!E125</f>
        <v>0</v>
      </c>
      <c r="G56" s="258">
        <f>'11.F&amp;V Crop Production details'!F125</f>
        <v>0</v>
      </c>
      <c r="H56" s="258">
        <f>'11.F&amp;V Crop Production details'!G125</f>
        <v>0</v>
      </c>
      <c r="I56" s="258">
        <f>'11.F&amp;V Crop Production details'!H125</f>
        <v>0</v>
      </c>
    </row>
    <row r="57" spans="1:9">
      <c r="A57" s="99" t="str">
        <f>'11.F&amp;V Crop Production details'!A126</f>
        <v>Citrus</v>
      </c>
      <c r="B57" s="205"/>
      <c r="C57" s="258">
        <f>'11.F&amp;V Crop Production details'!B126</f>
        <v>0</v>
      </c>
      <c r="D57" s="258">
        <f>'11.F&amp;V Crop Production details'!C126</f>
        <v>0</v>
      </c>
      <c r="E57" s="258">
        <f>'11.F&amp;V Crop Production details'!D126</f>
        <v>0</v>
      </c>
      <c r="F57" s="258">
        <f>'11.F&amp;V Crop Production details'!E126</f>
        <v>0</v>
      </c>
      <c r="G57" s="258">
        <f>'11.F&amp;V Crop Production details'!F126</f>
        <v>0</v>
      </c>
      <c r="H57" s="258">
        <f>'11.F&amp;V Crop Production details'!G126</f>
        <v>0</v>
      </c>
      <c r="I57" s="258">
        <f>'11.F&amp;V Crop Production details'!H126</f>
        <v>0</v>
      </c>
    </row>
    <row r="58" spans="1:9">
      <c r="A58" s="99"/>
      <c r="B58" s="205"/>
      <c r="C58" s="205"/>
      <c r="D58" s="205"/>
      <c r="E58" s="205"/>
      <c r="F58" s="205"/>
      <c r="G58" s="205"/>
      <c r="H58" s="205"/>
      <c r="I58" s="205"/>
    </row>
    <row r="59" spans="1:9">
      <c r="A59" s="101" t="s">
        <v>185</v>
      </c>
      <c r="B59" s="99"/>
      <c r="C59" s="99"/>
      <c r="D59" s="99"/>
      <c r="E59" s="99"/>
      <c r="F59" s="99"/>
      <c r="G59" s="99"/>
      <c r="H59" s="99"/>
      <c r="I59" s="99"/>
    </row>
    <row r="60" spans="1:9">
      <c r="A60" s="101" t="s">
        <v>186</v>
      </c>
      <c r="B60" s="99"/>
      <c r="C60" s="99"/>
      <c r="D60" s="99"/>
      <c r="E60" s="99"/>
      <c r="F60" s="99"/>
      <c r="G60" s="99"/>
      <c r="H60" s="99"/>
      <c r="I60" s="99"/>
    </row>
    <row r="61" spans="1:9">
      <c r="A61" s="101" t="str">
        <f t="shared" ref="A61:A92" si="0">A8</f>
        <v>Kharif Crops</v>
      </c>
      <c r="B61" s="99"/>
      <c r="C61" s="99"/>
      <c r="D61" s="99"/>
      <c r="E61" s="99"/>
      <c r="F61" s="99"/>
      <c r="G61" s="99"/>
      <c r="H61" s="99"/>
      <c r="I61" s="99"/>
    </row>
    <row r="62" spans="1:9">
      <c r="A62" s="99" t="str">
        <f t="shared" si="0"/>
        <v>Soybean</v>
      </c>
      <c r="B62" s="233">
        <v>40</v>
      </c>
      <c r="C62" s="206">
        <f>$B62*C9</f>
        <v>0</v>
      </c>
      <c r="D62" s="206">
        <f>$B62*D9</f>
        <v>0</v>
      </c>
      <c r="E62" s="206">
        <f t="shared" ref="E62:I62" si="1">$B62*E9</f>
        <v>0</v>
      </c>
      <c r="F62" s="206">
        <f t="shared" si="1"/>
        <v>0</v>
      </c>
      <c r="G62" s="206">
        <f t="shared" si="1"/>
        <v>0</v>
      </c>
      <c r="H62" s="206">
        <f t="shared" si="1"/>
        <v>0</v>
      </c>
      <c r="I62" s="206">
        <f t="shared" si="1"/>
        <v>0</v>
      </c>
    </row>
    <row r="63" spans="1:9">
      <c r="A63" s="99" t="str">
        <f t="shared" si="0"/>
        <v>Red Gram/Tur</v>
      </c>
      <c r="B63" s="233">
        <v>5</v>
      </c>
      <c r="C63" s="206">
        <f>$B63*C10</f>
        <v>0</v>
      </c>
      <c r="D63" s="206">
        <f t="shared" ref="D63:I63" si="2">$B$63*D10</f>
        <v>0</v>
      </c>
      <c r="E63" s="206">
        <f t="shared" si="2"/>
        <v>0</v>
      </c>
      <c r="F63" s="206">
        <f t="shared" si="2"/>
        <v>0</v>
      </c>
      <c r="G63" s="206">
        <f t="shared" si="2"/>
        <v>0</v>
      </c>
      <c r="H63" s="206">
        <f t="shared" si="2"/>
        <v>0</v>
      </c>
      <c r="I63" s="206">
        <f t="shared" si="2"/>
        <v>0</v>
      </c>
    </row>
    <row r="64" spans="1:9">
      <c r="A64" s="99" t="str">
        <f t="shared" si="0"/>
        <v>Paddy/Rice</v>
      </c>
      <c r="B64" s="233">
        <v>15</v>
      </c>
      <c r="C64" s="206">
        <f>$B64*C11</f>
        <v>0</v>
      </c>
      <c r="D64" s="206">
        <f t="shared" ref="D64:I64" si="3">$B$64*D11</f>
        <v>0</v>
      </c>
      <c r="E64" s="206">
        <f t="shared" si="3"/>
        <v>0</v>
      </c>
      <c r="F64" s="206">
        <f t="shared" si="3"/>
        <v>0</v>
      </c>
      <c r="G64" s="206">
        <f t="shared" si="3"/>
        <v>0</v>
      </c>
      <c r="H64" s="206">
        <f t="shared" si="3"/>
        <v>0</v>
      </c>
      <c r="I64" s="206">
        <f t="shared" si="3"/>
        <v>0</v>
      </c>
    </row>
    <row r="65" spans="1:9">
      <c r="A65" s="99" t="str">
        <f t="shared" si="0"/>
        <v>Green Gram/ Moong</v>
      </c>
      <c r="B65" s="233">
        <v>15</v>
      </c>
      <c r="C65" s="206">
        <f>$B65*C12</f>
        <v>0</v>
      </c>
      <c r="D65" s="206">
        <f t="shared" ref="D65:I67" si="4">$B65*D12</f>
        <v>0</v>
      </c>
      <c r="E65" s="206">
        <f t="shared" si="4"/>
        <v>0</v>
      </c>
      <c r="F65" s="206">
        <f t="shared" si="4"/>
        <v>0</v>
      </c>
      <c r="G65" s="206">
        <f t="shared" si="4"/>
        <v>0</v>
      </c>
      <c r="H65" s="206">
        <f t="shared" si="4"/>
        <v>0</v>
      </c>
      <c r="I65" s="206">
        <f t="shared" si="4"/>
        <v>0</v>
      </c>
    </row>
    <row r="66" spans="1:9">
      <c r="A66" s="99" t="str">
        <f t="shared" si="0"/>
        <v>Maize</v>
      </c>
      <c r="B66" s="233">
        <v>25</v>
      </c>
      <c r="C66" s="206">
        <f>$B66*C13</f>
        <v>0</v>
      </c>
      <c r="D66" s="206">
        <f t="shared" si="4"/>
        <v>0</v>
      </c>
      <c r="E66" s="206">
        <f t="shared" si="4"/>
        <v>0</v>
      </c>
      <c r="F66" s="206">
        <f t="shared" si="4"/>
        <v>0</v>
      </c>
      <c r="G66" s="206">
        <f t="shared" si="4"/>
        <v>0</v>
      </c>
      <c r="H66" s="206">
        <f t="shared" si="4"/>
        <v>0</v>
      </c>
      <c r="I66" s="206">
        <f t="shared" si="4"/>
        <v>0</v>
      </c>
    </row>
    <row r="67" spans="1:9">
      <c r="A67" s="99" t="str">
        <f t="shared" si="0"/>
        <v>Black Gram/Udid</v>
      </c>
      <c r="B67" s="233">
        <v>15</v>
      </c>
      <c r="C67" s="206">
        <f>$B67*C14</f>
        <v>0</v>
      </c>
      <c r="D67" s="206">
        <f t="shared" si="4"/>
        <v>0</v>
      </c>
      <c r="E67" s="206">
        <f t="shared" si="4"/>
        <v>0</v>
      </c>
      <c r="F67" s="206">
        <f t="shared" si="4"/>
        <v>0</v>
      </c>
      <c r="G67" s="206">
        <f t="shared" si="4"/>
        <v>0</v>
      </c>
      <c r="H67" s="206">
        <f t="shared" si="4"/>
        <v>0</v>
      </c>
      <c r="I67" s="206">
        <f t="shared" si="4"/>
        <v>0</v>
      </c>
    </row>
    <row r="68" spans="1:9">
      <c r="A68" s="99" t="str">
        <f t="shared" si="0"/>
        <v>Bajra</v>
      </c>
      <c r="B68" s="233">
        <v>5</v>
      </c>
      <c r="C68" s="206">
        <f t="shared" ref="C68:I68" si="5">$B68*C15</f>
        <v>0</v>
      </c>
      <c r="D68" s="206">
        <f t="shared" si="5"/>
        <v>0</v>
      </c>
      <c r="E68" s="206">
        <f t="shared" si="5"/>
        <v>0</v>
      </c>
      <c r="F68" s="206">
        <f t="shared" si="5"/>
        <v>0</v>
      </c>
      <c r="G68" s="206">
        <f t="shared" si="5"/>
        <v>0</v>
      </c>
      <c r="H68" s="206">
        <f t="shared" si="5"/>
        <v>0</v>
      </c>
      <c r="I68" s="206">
        <f t="shared" si="5"/>
        <v>0</v>
      </c>
    </row>
    <row r="69" spans="1:9">
      <c r="A69" s="99" t="str">
        <f t="shared" si="0"/>
        <v>Jawar</v>
      </c>
      <c r="B69" s="233">
        <v>5</v>
      </c>
      <c r="C69" s="206">
        <f t="shared" ref="C69:I69" si="6">$B69*C16</f>
        <v>0</v>
      </c>
      <c r="D69" s="206">
        <f t="shared" si="6"/>
        <v>0</v>
      </c>
      <c r="E69" s="206">
        <f t="shared" si="6"/>
        <v>0</v>
      </c>
      <c r="F69" s="206">
        <f t="shared" si="6"/>
        <v>0</v>
      </c>
      <c r="G69" s="206">
        <f t="shared" si="6"/>
        <v>0</v>
      </c>
      <c r="H69" s="206">
        <f t="shared" si="6"/>
        <v>0</v>
      </c>
      <c r="I69" s="206">
        <f t="shared" si="6"/>
        <v>0</v>
      </c>
    </row>
    <row r="70" spans="1:9">
      <c r="A70" s="101" t="str">
        <f t="shared" si="0"/>
        <v>Rabi Crop</v>
      </c>
      <c r="B70" s="233"/>
      <c r="C70" s="206"/>
      <c r="D70" s="206"/>
      <c r="E70" s="206"/>
      <c r="F70" s="206"/>
      <c r="G70" s="206"/>
      <c r="H70" s="206"/>
      <c r="I70" s="206"/>
    </row>
    <row r="71" spans="1:9">
      <c r="A71" s="99" t="str">
        <f t="shared" si="0"/>
        <v>Wheat</v>
      </c>
      <c r="B71" s="233">
        <v>20</v>
      </c>
      <c r="C71" s="206">
        <f t="shared" ref="C71:I71" si="7">$B71*C18</f>
        <v>0</v>
      </c>
      <c r="D71" s="206">
        <f t="shared" si="7"/>
        <v>0</v>
      </c>
      <c r="E71" s="206">
        <f t="shared" si="7"/>
        <v>0</v>
      </c>
      <c r="F71" s="206">
        <f t="shared" si="7"/>
        <v>0</v>
      </c>
      <c r="G71" s="206">
        <f t="shared" si="7"/>
        <v>0</v>
      </c>
      <c r="H71" s="206">
        <f t="shared" si="7"/>
        <v>0</v>
      </c>
      <c r="I71" s="206">
        <f t="shared" si="7"/>
        <v>0</v>
      </c>
    </row>
    <row r="72" spans="1:9">
      <c r="A72" s="99" t="str">
        <f t="shared" si="0"/>
        <v>Bengal Gram/Channa</v>
      </c>
      <c r="B72" s="233">
        <v>25</v>
      </c>
      <c r="C72" s="206">
        <f t="shared" ref="C72:I72" si="8">$B72*C19</f>
        <v>0</v>
      </c>
      <c r="D72" s="206">
        <f t="shared" si="8"/>
        <v>0</v>
      </c>
      <c r="E72" s="206">
        <f t="shared" si="8"/>
        <v>0</v>
      </c>
      <c r="F72" s="206">
        <f t="shared" si="8"/>
        <v>0</v>
      </c>
      <c r="G72" s="206">
        <f t="shared" si="8"/>
        <v>0</v>
      </c>
      <c r="H72" s="206">
        <f t="shared" si="8"/>
        <v>0</v>
      </c>
      <c r="I72" s="206">
        <f t="shared" si="8"/>
        <v>0</v>
      </c>
    </row>
    <row r="73" spans="1:9">
      <c r="A73" s="99" t="str">
        <f t="shared" si="0"/>
        <v>Jawar</v>
      </c>
      <c r="B73" s="233">
        <v>5</v>
      </c>
      <c r="C73" s="206">
        <f t="shared" ref="C73:I73" si="9">$B73*C20</f>
        <v>0</v>
      </c>
      <c r="D73" s="206">
        <f t="shared" si="9"/>
        <v>0</v>
      </c>
      <c r="E73" s="206">
        <f t="shared" si="9"/>
        <v>0</v>
      </c>
      <c r="F73" s="206">
        <f t="shared" si="9"/>
        <v>0</v>
      </c>
      <c r="G73" s="206">
        <f t="shared" si="9"/>
        <v>0</v>
      </c>
      <c r="H73" s="206">
        <f t="shared" si="9"/>
        <v>0</v>
      </c>
      <c r="I73" s="206">
        <f t="shared" si="9"/>
        <v>0</v>
      </c>
    </row>
    <row r="74" spans="1:9">
      <c r="A74" s="99" t="str">
        <f t="shared" si="0"/>
        <v>Maize</v>
      </c>
      <c r="B74" s="233">
        <v>20</v>
      </c>
      <c r="C74" s="206">
        <f t="shared" ref="C74:I74" si="10">$B74*C21</f>
        <v>0</v>
      </c>
      <c r="D74" s="206">
        <f t="shared" si="10"/>
        <v>0</v>
      </c>
      <c r="E74" s="206">
        <f t="shared" si="10"/>
        <v>0</v>
      </c>
      <c r="F74" s="206">
        <f t="shared" si="10"/>
        <v>0</v>
      </c>
      <c r="G74" s="206">
        <f t="shared" si="10"/>
        <v>0</v>
      </c>
      <c r="H74" s="206">
        <f t="shared" si="10"/>
        <v>0</v>
      </c>
      <c r="I74" s="206">
        <f t="shared" si="10"/>
        <v>0</v>
      </c>
    </row>
    <row r="75" spans="1:9">
      <c r="A75" s="99" t="str">
        <f t="shared" si="0"/>
        <v>Safflower</v>
      </c>
      <c r="B75" s="233"/>
      <c r="C75" s="206">
        <f t="shared" ref="C75:I75" si="11">$B75*C22</f>
        <v>0</v>
      </c>
      <c r="D75" s="206">
        <f t="shared" si="11"/>
        <v>0</v>
      </c>
      <c r="E75" s="206">
        <f t="shared" si="11"/>
        <v>0</v>
      </c>
      <c r="F75" s="206">
        <f t="shared" si="11"/>
        <v>0</v>
      </c>
      <c r="G75" s="206">
        <f t="shared" si="11"/>
        <v>0</v>
      </c>
      <c r="H75" s="206">
        <f t="shared" si="11"/>
        <v>0</v>
      </c>
      <c r="I75" s="206">
        <f t="shared" si="11"/>
        <v>0</v>
      </c>
    </row>
    <row r="76" spans="1:9">
      <c r="A76" s="99">
        <f t="shared" si="0"/>
        <v>0</v>
      </c>
      <c r="B76" s="233"/>
      <c r="C76" s="206">
        <f t="shared" ref="C76:I76" si="12">$B76*C23</f>
        <v>0</v>
      </c>
      <c r="D76" s="206">
        <f t="shared" si="12"/>
        <v>0</v>
      </c>
      <c r="E76" s="206">
        <f t="shared" si="12"/>
        <v>0</v>
      </c>
      <c r="F76" s="206">
        <f t="shared" si="12"/>
        <v>0</v>
      </c>
      <c r="G76" s="206">
        <f t="shared" si="12"/>
        <v>0</v>
      </c>
      <c r="H76" s="206">
        <f t="shared" si="12"/>
        <v>0</v>
      </c>
      <c r="I76" s="206">
        <f t="shared" si="12"/>
        <v>0</v>
      </c>
    </row>
    <row r="77" spans="1:9">
      <c r="A77" s="99">
        <f t="shared" si="0"/>
        <v>0</v>
      </c>
      <c r="B77" s="233"/>
      <c r="C77" s="206">
        <f t="shared" ref="C77:I77" si="13">$B77*C24</f>
        <v>0</v>
      </c>
      <c r="D77" s="206">
        <f t="shared" si="13"/>
        <v>0</v>
      </c>
      <c r="E77" s="206">
        <f t="shared" si="13"/>
        <v>0</v>
      </c>
      <c r="F77" s="206">
        <f t="shared" si="13"/>
        <v>0</v>
      </c>
      <c r="G77" s="206">
        <f t="shared" si="13"/>
        <v>0</v>
      </c>
      <c r="H77" s="206">
        <f t="shared" si="13"/>
        <v>0</v>
      </c>
      <c r="I77" s="206">
        <f t="shared" si="13"/>
        <v>0</v>
      </c>
    </row>
    <row r="78" spans="1:9">
      <c r="A78" s="99">
        <f t="shared" si="0"/>
        <v>0</v>
      </c>
      <c r="B78" s="233"/>
      <c r="C78" s="206">
        <f t="shared" ref="C78:I78" si="14">$B78*C25</f>
        <v>0</v>
      </c>
      <c r="D78" s="206">
        <f t="shared" si="14"/>
        <v>0</v>
      </c>
      <c r="E78" s="206">
        <f t="shared" si="14"/>
        <v>0</v>
      </c>
      <c r="F78" s="206">
        <f t="shared" si="14"/>
        <v>0</v>
      </c>
      <c r="G78" s="206">
        <f t="shared" si="14"/>
        <v>0</v>
      </c>
      <c r="H78" s="206">
        <f t="shared" si="14"/>
        <v>0</v>
      </c>
      <c r="I78" s="206">
        <f t="shared" si="14"/>
        <v>0</v>
      </c>
    </row>
    <row r="79" spans="1:9">
      <c r="A79" s="101" t="str">
        <f t="shared" si="0"/>
        <v>Summer</v>
      </c>
      <c r="B79" s="233"/>
      <c r="C79" s="206"/>
      <c r="D79" s="206"/>
      <c r="E79" s="206"/>
      <c r="F79" s="206"/>
      <c r="G79" s="206"/>
      <c r="H79" s="206"/>
      <c r="I79" s="206"/>
    </row>
    <row r="80" spans="1:9">
      <c r="A80" s="99" t="str">
        <f t="shared" si="0"/>
        <v>Groundnut</v>
      </c>
      <c r="B80" s="233"/>
      <c r="C80" s="206">
        <f t="shared" ref="C80:I80" si="15">$B80*C27</f>
        <v>0</v>
      </c>
      <c r="D80" s="206">
        <f t="shared" si="15"/>
        <v>0</v>
      </c>
      <c r="E80" s="206">
        <f t="shared" si="15"/>
        <v>0</v>
      </c>
      <c r="F80" s="206">
        <f t="shared" si="15"/>
        <v>0</v>
      </c>
      <c r="G80" s="206">
        <f t="shared" si="15"/>
        <v>0</v>
      </c>
      <c r="H80" s="206">
        <f t="shared" si="15"/>
        <v>0</v>
      </c>
      <c r="I80" s="206">
        <f t="shared" si="15"/>
        <v>0</v>
      </c>
    </row>
    <row r="81" spans="1:9">
      <c r="A81" s="99">
        <f t="shared" si="0"/>
        <v>0</v>
      </c>
      <c r="B81" s="233"/>
      <c r="C81" s="206">
        <f t="shared" ref="C81:I81" si="16">$B81*C28</f>
        <v>0</v>
      </c>
      <c r="D81" s="206">
        <f t="shared" si="16"/>
        <v>0</v>
      </c>
      <c r="E81" s="206">
        <f t="shared" si="16"/>
        <v>0</v>
      </c>
      <c r="F81" s="206">
        <f t="shared" si="16"/>
        <v>0</v>
      </c>
      <c r="G81" s="206">
        <f t="shared" si="16"/>
        <v>0</v>
      </c>
      <c r="H81" s="206">
        <f t="shared" si="16"/>
        <v>0</v>
      </c>
      <c r="I81" s="206">
        <f t="shared" si="16"/>
        <v>0</v>
      </c>
    </row>
    <row r="82" spans="1:9">
      <c r="A82" s="99">
        <f t="shared" si="0"/>
        <v>0</v>
      </c>
      <c r="B82" s="233"/>
      <c r="C82" s="206">
        <f t="shared" ref="C82:I82" si="17">$B82*C29</f>
        <v>0</v>
      </c>
      <c r="D82" s="206">
        <f t="shared" si="17"/>
        <v>0</v>
      </c>
      <c r="E82" s="206">
        <f t="shared" si="17"/>
        <v>0</v>
      </c>
      <c r="F82" s="206">
        <f t="shared" si="17"/>
        <v>0</v>
      </c>
      <c r="G82" s="206">
        <f t="shared" si="17"/>
        <v>0</v>
      </c>
      <c r="H82" s="206">
        <f t="shared" si="17"/>
        <v>0</v>
      </c>
      <c r="I82" s="206">
        <f t="shared" si="17"/>
        <v>0</v>
      </c>
    </row>
    <row r="83" spans="1:9">
      <c r="A83" s="99">
        <f t="shared" si="0"/>
        <v>0</v>
      </c>
      <c r="B83" s="233"/>
      <c r="C83" s="206">
        <f t="shared" ref="C83:I83" si="18">$B83*C30</f>
        <v>0</v>
      </c>
      <c r="D83" s="206">
        <f t="shared" si="18"/>
        <v>0</v>
      </c>
      <c r="E83" s="206">
        <f t="shared" si="18"/>
        <v>0</v>
      </c>
      <c r="F83" s="206">
        <f t="shared" si="18"/>
        <v>0</v>
      </c>
      <c r="G83" s="206">
        <f t="shared" si="18"/>
        <v>0</v>
      </c>
      <c r="H83" s="206">
        <f t="shared" si="18"/>
        <v>0</v>
      </c>
      <c r="I83" s="206">
        <f t="shared" si="18"/>
        <v>0</v>
      </c>
    </row>
    <row r="84" spans="1:9">
      <c r="A84" s="99">
        <f t="shared" si="0"/>
        <v>0</v>
      </c>
      <c r="B84" s="233"/>
      <c r="C84" s="206">
        <f t="shared" ref="C84:I84" si="19">$B84*C31</f>
        <v>0</v>
      </c>
      <c r="D84" s="206">
        <f t="shared" si="19"/>
        <v>0</v>
      </c>
      <c r="E84" s="206">
        <f t="shared" si="19"/>
        <v>0</v>
      </c>
      <c r="F84" s="206">
        <f t="shared" si="19"/>
        <v>0</v>
      </c>
      <c r="G84" s="206">
        <f t="shared" si="19"/>
        <v>0</v>
      </c>
      <c r="H84" s="206">
        <f t="shared" si="19"/>
        <v>0</v>
      </c>
      <c r="I84" s="206">
        <f t="shared" si="19"/>
        <v>0</v>
      </c>
    </row>
    <row r="85" spans="1:9">
      <c r="A85" s="101" t="str">
        <f t="shared" si="0"/>
        <v>Fruit  &amp; Vegetables Crop Production Details</v>
      </c>
      <c r="B85" s="233"/>
      <c r="C85" s="206"/>
      <c r="D85" s="206"/>
      <c r="E85" s="206"/>
      <c r="F85" s="206"/>
      <c r="G85" s="206"/>
      <c r="H85" s="206"/>
      <c r="I85" s="206"/>
    </row>
    <row r="86" spans="1:9">
      <c r="A86" s="99" t="str">
        <f t="shared" si="0"/>
        <v>Onion</v>
      </c>
      <c r="B86" s="233"/>
      <c r="C86" s="206">
        <f t="shared" ref="C86:I86" si="20">$B86*C33</f>
        <v>0</v>
      </c>
      <c r="D86" s="206">
        <f t="shared" si="20"/>
        <v>0</v>
      </c>
      <c r="E86" s="206">
        <f t="shared" si="20"/>
        <v>0</v>
      </c>
      <c r="F86" s="206">
        <f t="shared" si="20"/>
        <v>0</v>
      </c>
      <c r="G86" s="206">
        <f t="shared" si="20"/>
        <v>0</v>
      </c>
      <c r="H86" s="206">
        <f t="shared" si="20"/>
        <v>0</v>
      </c>
      <c r="I86" s="206">
        <f t="shared" si="20"/>
        <v>0</v>
      </c>
    </row>
    <row r="87" spans="1:9">
      <c r="A87" s="99" t="str">
        <f t="shared" si="0"/>
        <v>Tomato</v>
      </c>
      <c r="B87" s="233"/>
      <c r="C87" s="206">
        <f t="shared" ref="C87:I87" si="21">$B87*C34</f>
        <v>0</v>
      </c>
      <c r="D87" s="206">
        <f t="shared" si="21"/>
        <v>0</v>
      </c>
      <c r="E87" s="206">
        <f t="shared" si="21"/>
        <v>0</v>
      </c>
      <c r="F87" s="206">
        <f t="shared" si="21"/>
        <v>0</v>
      </c>
      <c r="G87" s="206">
        <f t="shared" si="21"/>
        <v>0</v>
      </c>
      <c r="H87" s="206">
        <f t="shared" si="21"/>
        <v>0</v>
      </c>
      <c r="I87" s="206">
        <f t="shared" si="21"/>
        <v>0</v>
      </c>
    </row>
    <row r="88" spans="1:9">
      <c r="A88" s="99" t="str">
        <f t="shared" si="0"/>
        <v>Okra</v>
      </c>
      <c r="B88" s="233"/>
      <c r="C88" s="206">
        <f t="shared" ref="C88:I88" si="22">$B88*C35</f>
        <v>0</v>
      </c>
      <c r="D88" s="206">
        <f t="shared" si="22"/>
        <v>0</v>
      </c>
      <c r="E88" s="206">
        <f t="shared" si="22"/>
        <v>0</v>
      </c>
      <c r="F88" s="206">
        <f t="shared" si="22"/>
        <v>0</v>
      </c>
      <c r="G88" s="206">
        <f t="shared" si="22"/>
        <v>0</v>
      </c>
      <c r="H88" s="206">
        <f t="shared" si="22"/>
        <v>0</v>
      </c>
      <c r="I88" s="206">
        <f t="shared" si="22"/>
        <v>0</v>
      </c>
    </row>
    <row r="89" spans="1:9">
      <c r="A89" s="99" t="str">
        <f t="shared" si="0"/>
        <v>Chilli</v>
      </c>
      <c r="B89" s="233"/>
      <c r="C89" s="206">
        <f t="shared" ref="C89:I89" si="23">$B89*C36</f>
        <v>0</v>
      </c>
      <c r="D89" s="206">
        <f t="shared" si="23"/>
        <v>0</v>
      </c>
      <c r="E89" s="206">
        <f t="shared" si="23"/>
        <v>0</v>
      </c>
      <c r="F89" s="206">
        <f t="shared" si="23"/>
        <v>0</v>
      </c>
      <c r="G89" s="206">
        <f t="shared" si="23"/>
        <v>0</v>
      </c>
      <c r="H89" s="206">
        <f t="shared" si="23"/>
        <v>0</v>
      </c>
      <c r="I89" s="206">
        <f t="shared" si="23"/>
        <v>0</v>
      </c>
    </row>
    <row r="90" spans="1:9">
      <c r="A90" s="99" t="str">
        <f t="shared" si="0"/>
        <v>Potato</v>
      </c>
      <c r="B90" s="233"/>
      <c r="C90" s="206">
        <f t="shared" ref="C90:I90" si="24">$B90*C37</f>
        <v>0</v>
      </c>
      <c r="D90" s="206">
        <f t="shared" si="24"/>
        <v>0</v>
      </c>
      <c r="E90" s="206">
        <f t="shared" si="24"/>
        <v>0</v>
      </c>
      <c r="F90" s="206">
        <f t="shared" si="24"/>
        <v>0</v>
      </c>
      <c r="G90" s="206">
        <f t="shared" si="24"/>
        <v>0</v>
      </c>
      <c r="H90" s="206">
        <f t="shared" si="24"/>
        <v>0</v>
      </c>
      <c r="I90" s="206">
        <f t="shared" si="24"/>
        <v>0</v>
      </c>
    </row>
    <row r="91" spans="1:9">
      <c r="A91" s="99">
        <f t="shared" si="0"/>
        <v>0</v>
      </c>
      <c r="B91" s="233"/>
      <c r="C91" s="206">
        <f t="shared" ref="C91:I91" si="25">$B91*C38</f>
        <v>0</v>
      </c>
      <c r="D91" s="206">
        <f t="shared" si="25"/>
        <v>0</v>
      </c>
      <c r="E91" s="206">
        <f t="shared" si="25"/>
        <v>0</v>
      </c>
      <c r="F91" s="206">
        <f t="shared" si="25"/>
        <v>0</v>
      </c>
      <c r="G91" s="206">
        <f t="shared" si="25"/>
        <v>0</v>
      </c>
      <c r="H91" s="206">
        <f t="shared" si="25"/>
        <v>0</v>
      </c>
      <c r="I91" s="206">
        <f t="shared" si="25"/>
        <v>0</v>
      </c>
    </row>
    <row r="92" spans="1:9">
      <c r="A92" s="99">
        <f t="shared" si="0"/>
        <v>0</v>
      </c>
      <c r="B92" s="233"/>
      <c r="C92" s="206">
        <f t="shared" ref="C92:I92" si="26">$B92*C39</f>
        <v>0</v>
      </c>
      <c r="D92" s="206">
        <f t="shared" si="26"/>
        <v>0</v>
      </c>
      <c r="E92" s="206">
        <f t="shared" si="26"/>
        <v>0</v>
      </c>
      <c r="F92" s="206">
        <f t="shared" si="26"/>
        <v>0</v>
      </c>
      <c r="G92" s="206">
        <f t="shared" si="26"/>
        <v>0</v>
      </c>
      <c r="H92" s="206">
        <f t="shared" si="26"/>
        <v>0</v>
      </c>
      <c r="I92" s="206">
        <f t="shared" si="26"/>
        <v>0</v>
      </c>
    </row>
    <row r="93" spans="1:9">
      <c r="A93" s="99">
        <f t="shared" ref="A93:A110" si="27">A40</f>
        <v>0</v>
      </c>
      <c r="B93" s="233"/>
      <c r="C93" s="206">
        <f t="shared" ref="C93:I93" si="28">$B93*C40</f>
        <v>0</v>
      </c>
      <c r="D93" s="206">
        <f t="shared" si="28"/>
        <v>0</v>
      </c>
      <c r="E93" s="206">
        <f t="shared" si="28"/>
        <v>0</v>
      </c>
      <c r="F93" s="206">
        <f t="shared" si="28"/>
        <v>0</v>
      </c>
      <c r="G93" s="206">
        <f t="shared" si="28"/>
        <v>0</v>
      </c>
      <c r="H93" s="206">
        <f t="shared" si="28"/>
        <v>0</v>
      </c>
      <c r="I93" s="206">
        <f t="shared" si="28"/>
        <v>0</v>
      </c>
    </row>
    <row r="94" spans="1:9">
      <c r="A94" s="99">
        <f t="shared" si="27"/>
        <v>0</v>
      </c>
      <c r="B94" s="233"/>
      <c r="C94" s="206">
        <f t="shared" ref="C94:I94" si="29">$B94*C41</f>
        <v>0</v>
      </c>
      <c r="D94" s="206">
        <f t="shared" si="29"/>
        <v>0</v>
      </c>
      <c r="E94" s="206">
        <f t="shared" si="29"/>
        <v>0</v>
      </c>
      <c r="F94" s="206">
        <f t="shared" si="29"/>
        <v>0</v>
      </c>
      <c r="G94" s="206">
        <f t="shared" si="29"/>
        <v>0</v>
      </c>
      <c r="H94" s="206">
        <f t="shared" si="29"/>
        <v>0</v>
      </c>
      <c r="I94" s="206">
        <f t="shared" si="29"/>
        <v>0</v>
      </c>
    </row>
    <row r="95" spans="1:9">
      <c r="A95" s="99" t="str">
        <f t="shared" si="27"/>
        <v>Onion</v>
      </c>
      <c r="B95" s="233"/>
      <c r="C95" s="206">
        <f t="shared" ref="C95:I95" si="30">$B95*C42</f>
        <v>0</v>
      </c>
      <c r="D95" s="206">
        <f t="shared" si="30"/>
        <v>0</v>
      </c>
      <c r="E95" s="206">
        <f t="shared" si="30"/>
        <v>0</v>
      </c>
      <c r="F95" s="206">
        <f t="shared" si="30"/>
        <v>0</v>
      </c>
      <c r="G95" s="206">
        <f t="shared" si="30"/>
        <v>0</v>
      </c>
      <c r="H95" s="206">
        <f t="shared" si="30"/>
        <v>0</v>
      </c>
      <c r="I95" s="206">
        <f t="shared" si="30"/>
        <v>0</v>
      </c>
    </row>
    <row r="96" spans="1:9">
      <c r="A96" s="99" t="str">
        <f t="shared" si="27"/>
        <v>Tomato</v>
      </c>
      <c r="B96" s="233"/>
      <c r="C96" s="206">
        <f t="shared" ref="C96:I96" si="31">$B96*C43</f>
        <v>0</v>
      </c>
      <c r="D96" s="206">
        <f t="shared" si="31"/>
        <v>0</v>
      </c>
      <c r="E96" s="206">
        <f t="shared" si="31"/>
        <v>0</v>
      </c>
      <c r="F96" s="206">
        <f t="shared" si="31"/>
        <v>0</v>
      </c>
      <c r="G96" s="206">
        <f t="shared" si="31"/>
        <v>0</v>
      </c>
      <c r="H96" s="206">
        <f t="shared" si="31"/>
        <v>0</v>
      </c>
      <c r="I96" s="206">
        <f t="shared" si="31"/>
        <v>0</v>
      </c>
    </row>
    <row r="97" spans="1:9">
      <c r="A97" s="99" t="str">
        <f t="shared" si="27"/>
        <v>Okra</v>
      </c>
      <c r="B97" s="233"/>
      <c r="C97" s="206">
        <f t="shared" ref="C97:I97" si="32">$B97*C44</f>
        <v>0</v>
      </c>
      <c r="D97" s="206">
        <f t="shared" si="32"/>
        <v>0</v>
      </c>
      <c r="E97" s="206">
        <f t="shared" si="32"/>
        <v>0</v>
      </c>
      <c r="F97" s="206">
        <f t="shared" si="32"/>
        <v>0</v>
      </c>
      <c r="G97" s="206">
        <f t="shared" si="32"/>
        <v>0</v>
      </c>
      <c r="H97" s="206">
        <f t="shared" si="32"/>
        <v>0</v>
      </c>
      <c r="I97" s="206">
        <f t="shared" si="32"/>
        <v>0</v>
      </c>
    </row>
    <row r="98" spans="1:9">
      <c r="A98" s="99" t="str">
        <f t="shared" si="27"/>
        <v>Chilli</v>
      </c>
      <c r="B98" s="233"/>
      <c r="C98" s="206">
        <f t="shared" ref="C98:I98" si="33">$B98*C45</f>
        <v>0</v>
      </c>
      <c r="D98" s="206">
        <f t="shared" si="33"/>
        <v>0</v>
      </c>
      <c r="E98" s="206">
        <f t="shared" si="33"/>
        <v>0</v>
      </c>
      <c r="F98" s="206">
        <f t="shared" si="33"/>
        <v>0</v>
      </c>
      <c r="G98" s="206">
        <f t="shared" si="33"/>
        <v>0</v>
      </c>
      <c r="H98" s="206">
        <f t="shared" si="33"/>
        <v>0</v>
      </c>
      <c r="I98" s="206">
        <f t="shared" si="33"/>
        <v>0</v>
      </c>
    </row>
    <row r="99" spans="1:9">
      <c r="A99" s="99" t="str">
        <f t="shared" si="27"/>
        <v>Brinjal</v>
      </c>
      <c r="B99" s="233"/>
      <c r="C99" s="206">
        <f t="shared" ref="C99:I99" si="34">$B99*C46</f>
        <v>0</v>
      </c>
      <c r="D99" s="206">
        <f t="shared" si="34"/>
        <v>0</v>
      </c>
      <c r="E99" s="206">
        <f t="shared" si="34"/>
        <v>0</v>
      </c>
      <c r="F99" s="206">
        <f t="shared" si="34"/>
        <v>0</v>
      </c>
      <c r="G99" s="206">
        <f t="shared" si="34"/>
        <v>0</v>
      </c>
      <c r="H99" s="206">
        <f t="shared" si="34"/>
        <v>0</v>
      </c>
      <c r="I99" s="206">
        <f t="shared" si="34"/>
        <v>0</v>
      </c>
    </row>
    <row r="100" spans="1:9">
      <c r="A100" s="99">
        <f t="shared" si="27"/>
        <v>0</v>
      </c>
      <c r="B100" s="233"/>
      <c r="C100" s="206">
        <f t="shared" ref="C100:I100" si="35">$B100*C47</f>
        <v>0</v>
      </c>
      <c r="D100" s="206">
        <f t="shared" si="35"/>
        <v>0</v>
      </c>
      <c r="E100" s="206">
        <f t="shared" si="35"/>
        <v>0</v>
      </c>
      <c r="F100" s="206">
        <f t="shared" si="35"/>
        <v>0</v>
      </c>
      <c r="G100" s="206">
        <f t="shared" si="35"/>
        <v>0</v>
      </c>
      <c r="H100" s="206">
        <f t="shared" si="35"/>
        <v>0</v>
      </c>
      <c r="I100" s="206">
        <f t="shared" si="35"/>
        <v>0</v>
      </c>
    </row>
    <row r="101" spans="1:9">
      <c r="A101" s="99">
        <f t="shared" si="27"/>
        <v>0</v>
      </c>
      <c r="B101" s="233"/>
      <c r="C101" s="206">
        <f t="shared" ref="C101:I101" si="36">$B101*C48</f>
        <v>0</v>
      </c>
      <c r="D101" s="206">
        <f t="shared" si="36"/>
        <v>0</v>
      </c>
      <c r="E101" s="206">
        <f t="shared" si="36"/>
        <v>0</v>
      </c>
      <c r="F101" s="206">
        <f t="shared" si="36"/>
        <v>0</v>
      </c>
      <c r="G101" s="206">
        <f t="shared" si="36"/>
        <v>0</v>
      </c>
      <c r="H101" s="206">
        <f t="shared" si="36"/>
        <v>0</v>
      </c>
      <c r="I101" s="206">
        <f t="shared" si="36"/>
        <v>0</v>
      </c>
    </row>
    <row r="102" spans="1:9">
      <c r="A102" s="99">
        <f t="shared" si="27"/>
        <v>0</v>
      </c>
      <c r="B102" s="233"/>
      <c r="C102" s="206">
        <f t="shared" ref="C102:I102" si="37">$B102*C49</f>
        <v>0</v>
      </c>
      <c r="D102" s="206">
        <f t="shared" si="37"/>
        <v>0</v>
      </c>
      <c r="E102" s="206">
        <f t="shared" si="37"/>
        <v>0</v>
      </c>
      <c r="F102" s="206">
        <f t="shared" si="37"/>
        <v>0</v>
      </c>
      <c r="G102" s="206">
        <f t="shared" si="37"/>
        <v>0</v>
      </c>
      <c r="H102" s="206">
        <f t="shared" si="37"/>
        <v>0</v>
      </c>
      <c r="I102" s="206">
        <f t="shared" si="37"/>
        <v>0</v>
      </c>
    </row>
    <row r="103" spans="1:9">
      <c r="A103" s="99">
        <f t="shared" si="27"/>
        <v>0</v>
      </c>
      <c r="B103" s="233"/>
      <c r="C103" s="206">
        <f t="shared" ref="C103:I103" si="38">$B103*C50</f>
        <v>0</v>
      </c>
      <c r="D103" s="206">
        <f t="shared" si="38"/>
        <v>0</v>
      </c>
      <c r="E103" s="206">
        <f t="shared" si="38"/>
        <v>0</v>
      </c>
      <c r="F103" s="206">
        <f t="shared" si="38"/>
        <v>0</v>
      </c>
      <c r="G103" s="206">
        <f t="shared" si="38"/>
        <v>0</v>
      </c>
      <c r="H103" s="206">
        <f t="shared" si="38"/>
        <v>0</v>
      </c>
      <c r="I103" s="206">
        <f t="shared" si="38"/>
        <v>0</v>
      </c>
    </row>
    <row r="104" spans="1:9">
      <c r="A104" s="99">
        <f t="shared" si="27"/>
        <v>0</v>
      </c>
      <c r="B104" s="233"/>
      <c r="C104" s="206">
        <f t="shared" ref="C104:I104" si="39">$B104*C51</f>
        <v>0</v>
      </c>
      <c r="D104" s="206">
        <f t="shared" si="39"/>
        <v>0</v>
      </c>
      <c r="E104" s="206">
        <f t="shared" si="39"/>
        <v>0</v>
      </c>
      <c r="F104" s="206">
        <f t="shared" si="39"/>
        <v>0</v>
      </c>
      <c r="G104" s="206">
        <f t="shared" si="39"/>
        <v>0</v>
      </c>
      <c r="H104" s="206">
        <f t="shared" si="39"/>
        <v>0</v>
      </c>
      <c r="I104" s="206">
        <f t="shared" si="39"/>
        <v>0</v>
      </c>
    </row>
    <row r="105" spans="1:9">
      <c r="A105" s="99">
        <f t="shared" si="27"/>
        <v>0</v>
      </c>
      <c r="B105" s="233"/>
      <c r="C105" s="206">
        <f t="shared" ref="C105:I105" si="40">$B105*C52</f>
        <v>0</v>
      </c>
      <c r="D105" s="206">
        <f t="shared" si="40"/>
        <v>0</v>
      </c>
      <c r="E105" s="206">
        <f t="shared" si="40"/>
        <v>0</v>
      </c>
      <c r="F105" s="206">
        <f t="shared" si="40"/>
        <v>0</v>
      </c>
      <c r="G105" s="206">
        <f t="shared" si="40"/>
        <v>0</v>
      </c>
      <c r="H105" s="206">
        <f t="shared" si="40"/>
        <v>0</v>
      </c>
      <c r="I105" s="206">
        <f t="shared" si="40"/>
        <v>0</v>
      </c>
    </row>
    <row r="106" spans="1:9">
      <c r="A106" s="99">
        <f t="shared" si="27"/>
        <v>0</v>
      </c>
      <c r="B106" s="233"/>
      <c r="C106" s="206">
        <f t="shared" ref="C106:I106" si="41">$B106*C53</f>
        <v>0</v>
      </c>
      <c r="D106" s="206">
        <f t="shared" si="41"/>
        <v>0</v>
      </c>
      <c r="E106" s="206">
        <f t="shared" si="41"/>
        <v>0</v>
      </c>
      <c r="F106" s="206">
        <f t="shared" si="41"/>
        <v>0</v>
      </c>
      <c r="G106" s="206">
        <f t="shared" si="41"/>
        <v>0</v>
      </c>
      <c r="H106" s="206">
        <f t="shared" si="41"/>
        <v>0</v>
      </c>
      <c r="I106" s="206">
        <f t="shared" si="41"/>
        <v>0</v>
      </c>
    </row>
    <row r="107" spans="1:9">
      <c r="A107" s="99" t="str">
        <f t="shared" si="27"/>
        <v>Pomegranate</v>
      </c>
      <c r="B107" s="233"/>
      <c r="C107" s="206">
        <f t="shared" ref="C107:I107" si="42">$B107*C54</f>
        <v>0</v>
      </c>
      <c r="D107" s="206">
        <f t="shared" si="42"/>
        <v>0</v>
      </c>
      <c r="E107" s="206">
        <f t="shared" si="42"/>
        <v>0</v>
      </c>
      <c r="F107" s="206">
        <f t="shared" si="42"/>
        <v>0</v>
      </c>
      <c r="G107" s="206">
        <f t="shared" si="42"/>
        <v>0</v>
      </c>
      <c r="H107" s="206">
        <f t="shared" si="42"/>
        <v>0</v>
      </c>
      <c r="I107" s="206">
        <f t="shared" si="42"/>
        <v>0</v>
      </c>
    </row>
    <row r="108" spans="1:9">
      <c r="A108" s="99" t="str">
        <f t="shared" si="27"/>
        <v>Custard Apple</v>
      </c>
      <c r="B108" s="233"/>
      <c r="C108" s="206">
        <f t="shared" ref="C108:I108" si="43">$B108*C55</f>
        <v>0</v>
      </c>
      <c r="D108" s="206">
        <f t="shared" si="43"/>
        <v>0</v>
      </c>
      <c r="E108" s="206">
        <f t="shared" si="43"/>
        <v>0</v>
      </c>
      <c r="F108" s="206">
        <f t="shared" si="43"/>
        <v>0</v>
      </c>
      <c r="G108" s="206">
        <f t="shared" si="43"/>
        <v>0</v>
      </c>
      <c r="H108" s="206">
        <f t="shared" si="43"/>
        <v>0</v>
      </c>
      <c r="I108" s="206">
        <f t="shared" si="43"/>
        <v>0</v>
      </c>
    </row>
    <row r="109" spans="1:9">
      <c r="A109" s="99" t="str">
        <f t="shared" si="27"/>
        <v>Guava</v>
      </c>
      <c r="B109" s="233"/>
      <c r="C109" s="206">
        <f t="shared" ref="C109:I109" si="44">$B109*C56</f>
        <v>0</v>
      </c>
      <c r="D109" s="206">
        <f t="shared" si="44"/>
        <v>0</v>
      </c>
      <c r="E109" s="206">
        <f t="shared" si="44"/>
        <v>0</v>
      </c>
      <c r="F109" s="206">
        <f t="shared" si="44"/>
        <v>0</v>
      </c>
      <c r="G109" s="206">
        <f t="shared" si="44"/>
        <v>0</v>
      </c>
      <c r="H109" s="206">
        <f t="shared" si="44"/>
        <v>0</v>
      </c>
      <c r="I109" s="206">
        <f t="shared" si="44"/>
        <v>0</v>
      </c>
    </row>
    <row r="110" spans="1:9">
      <c r="A110" s="99" t="str">
        <f t="shared" si="27"/>
        <v>Citrus</v>
      </c>
      <c r="B110" s="233"/>
      <c r="C110" s="206">
        <f t="shared" ref="C110:I110" si="45">$B110*C57</f>
        <v>0</v>
      </c>
      <c r="D110" s="206">
        <f t="shared" si="45"/>
        <v>0</v>
      </c>
      <c r="E110" s="206">
        <f t="shared" si="45"/>
        <v>0</v>
      </c>
      <c r="F110" s="206">
        <f t="shared" si="45"/>
        <v>0</v>
      </c>
      <c r="G110" s="206">
        <f t="shared" si="45"/>
        <v>0</v>
      </c>
      <c r="H110" s="206">
        <f t="shared" si="45"/>
        <v>0</v>
      </c>
      <c r="I110" s="206">
        <f t="shared" si="45"/>
        <v>0</v>
      </c>
    </row>
    <row r="111" spans="1:9">
      <c r="A111" s="99"/>
      <c r="B111" s="233"/>
      <c r="C111" s="206"/>
      <c r="D111" s="206"/>
      <c r="E111" s="206"/>
      <c r="F111" s="206"/>
      <c r="G111" s="206"/>
      <c r="H111" s="206"/>
      <c r="I111" s="206"/>
    </row>
    <row r="112" spans="1:9">
      <c r="A112" s="99"/>
      <c r="B112" s="233"/>
      <c r="C112" s="206"/>
      <c r="D112" s="206"/>
      <c r="E112" s="206"/>
      <c r="F112" s="206"/>
      <c r="G112" s="206"/>
      <c r="H112" s="206"/>
      <c r="I112" s="206"/>
    </row>
    <row r="113" spans="1:23">
      <c r="A113" s="101" t="s">
        <v>187</v>
      </c>
      <c r="B113" s="99"/>
      <c r="C113" s="99"/>
      <c r="D113" s="99"/>
      <c r="E113" s="99"/>
      <c r="F113" s="99"/>
      <c r="G113" s="99"/>
      <c r="H113" s="99"/>
      <c r="I113" s="99"/>
    </row>
    <row r="114" spans="1:23">
      <c r="A114" s="99" t="s">
        <v>416</v>
      </c>
      <c r="B114" s="233">
        <v>100</v>
      </c>
      <c r="C114" s="206">
        <f>SUM(C62:C110)*$B$114</f>
        <v>0</v>
      </c>
      <c r="D114" s="206">
        <f t="shared" ref="D114:I114" si="46">SUM(D62:D110)*$B$114</f>
        <v>0</v>
      </c>
      <c r="E114" s="206">
        <f t="shared" si="46"/>
        <v>0</v>
      </c>
      <c r="F114" s="206">
        <f t="shared" si="46"/>
        <v>0</v>
      </c>
      <c r="G114" s="206">
        <f t="shared" si="46"/>
        <v>0</v>
      </c>
      <c r="H114" s="206">
        <f t="shared" si="46"/>
        <v>0</v>
      </c>
      <c r="I114" s="206">
        <f t="shared" si="46"/>
        <v>0</v>
      </c>
    </row>
    <row r="115" spans="1:23">
      <c r="A115" s="99" t="s">
        <v>181</v>
      </c>
      <c r="B115" s="233">
        <v>30</v>
      </c>
      <c r="C115" s="206">
        <f>SUM(C62:C110)*$B$115</f>
        <v>0</v>
      </c>
      <c r="D115" s="206">
        <f t="shared" ref="D115:I115" si="47">SUM(D62:D110)*$B$115</f>
        <v>0</v>
      </c>
      <c r="E115" s="206">
        <f t="shared" si="47"/>
        <v>0</v>
      </c>
      <c r="F115" s="206">
        <f t="shared" si="47"/>
        <v>0</v>
      </c>
      <c r="G115" s="206">
        <f t="shared" si="47"/>
        <v>0</v>
      </c>
      <c r="H115" s="206">
        <f t="shared" si="47"/>
        <v>0</v>
      </c>
      <c r="I115" s="206">
        <f t="shared" si="47"/>
        <v>0</v>
      </c>
    </row>
    <row r="116" spans="1:23">
      <c r="A116" s="99" t="s">
        <v>183</v>
      </c>
      <c r="B116" s="233">
        <v>30</v>
      </c>
      <c r="C116" s="206">
        <f>SUM(C62:C110)*$B$116</f>
        <v>0</v>
      </c>
      <c r="D116" s="206">
        <f t="shared" ref="D116:I116" si="48">SUM(D62:D110)*$B$116</f>
        <v>0</v>
      </c>
      <c r="E116" s="206">
        <f t="shared" si="48"/>
        <v>0</v>
      </c>
      <c r="F116" s="206">
        <f t="shared" si="48"/>
        <v>0</v>
      </c>
      <c r="G116" s="206">
        <f t="shared" si="48"/>
        <v>0</v>
      </c>
      <c r="H116" s="206">
        <f t="shared" si="48"/>
        <v>0</v>
      </c>
      <c r="I116" s="206">
        <f t="shared" si="48"/>
        <v>0</v>
      </c>
    </row>
    <row r="117" spans="1:23">
      <c r="A117" s="101" t="s">
        <v>182</v>
      </c>
      <c r="B117" s="233"/>
      <c r="C117" s="99"/>
      <c r="D117" s="99"/>
      <c r="E117" s="99"/>
      <c r="F117" s="99"/>
      <c r="G117" s="99"/>
      <c r="H117" s="99"/>
      <c r="I117" s="99"/>
    </row>
    <row r="118" spans="1:23">
      <c r="A118" s="99" t="s">
        <v>188</v>
      </c>
      <c r="B118" s="233">
        <v>0.2</v>
      </c>
      <c r="C118" s="206">
        <f>SUM(C62:C110)*$B$118</f>
        <v>0</v>
      </c>
      <c r="D118" s="206">
        <f t="shared" ref="D118:I118" si="49">SUM(D62:D110)*$B$118</f>
        <v>0</v>
      </c>
      <c r="E118" s="206">
        <f t="shared" si="49"/>
        <v>0</v>
      </c>
      <c r="F118" s="206">
        <f t="shared" si="49"/>
        <v>0</v>
      </c>
      <c r="G118" s="206">
        <f t="shared" si="49"/>
        <v>0</v>
      </c>
      <c r="H118" s="206">
        <f t="shared" si="49"/>
        <v>0</v>
      </c>
      <c r="I118" s="206">
        <f t="shared" si="49"/>
        <v>0</v>
      </c>
    </row>
    <row r="119" spans="1:23">
      <c r="A119" s="99" t="s">
        <v>189</v>
      </c>
      <c r="B119" s="233">
        <v>0.5</v>
      </c>
      <c r="C119" s="206">
        <f>SUM(C62:C110)*$B$119</f>
        <v>0</v>
      </c>
      <c r="D119" s="206">
        <f t="shared" ref="D119:I119" si="50">SUM(D62:D110)*$B$119</f>
        <v>0</v>
      </c>
      <c r="E119" s="206">
        <f t="shared" si="50"/>
        <v>0</v>
      </c>
      <c r="F119" s="206">
        <f t="shared" si="50"/>
        <v>0</v>
      </c>
      <c r="G119" s="206">
        <f t="shared" si="50"/>
        <v>0</v>
      </c>
      <c r="H119" s="206">
        <f t="shared" si="50"/>
        <v>0</v>
      </c>
      <c r="I119" s="206">
        <f t="shared" si="50"/>
        <v>0</v>
      </c>
    </row>
    <row r="122" spans="1:23" ht="18.75">
      <c r="A122" s="417" t="s">
        <v>604</v>
      </c>
      <c r="B122" s="417"/>
      <c r="C122" s="417"/>
      <c r="D122" s="417"/>
      <c r="E122" s="417"/>
      <c r="F122" s="417"/>
      <c r="G122" s="417"/>
      <c r="H122" s="417"/>
      <c r="I122" s="417"/>
      <c r="J122" s="417"/>
    </row>
    <row r="123" spans="1:23">
      <c r="A123" s="31"/>
      <c r="B123" s="62"/>
      <c r="C123" s="31"/>
      <c r="D123" s="31"/>
      <c r="E123" s="31"/>
      <c r="F123" s="31"/>
      <c r="G123" s="31"/>
      <c r="H123" s="31"/>
    </row>
    <row r="124" spans="1:23">
      <c r="A124" s="192"/>
      <c r="B124" s="192"/>
      <c r="C124" s="192"/>
      <c r="D124" s="193">
        <v>1</v>
      </c>
      <c r="E124" s="194">
        <f>(D124*5%)+D124</f>
        <v>1.05</v>
      </c>
      <c r="F124" s="194">
        <f t="shared" ref="F124:J124" si="51">(E124*5%)+E124</f>
        <v>1.1025</v>
      </c>
      <c r="G124" s="194">
        <f t="shared" si="51"/>
        <v>1.1576250000000001</v>
      </c>
      <c r="H124" s="194">
        <f t="shared" si="51"/>
        <v>1.2155062500000002</v>
      </c>
      <c r="I124" s="194">
        <f t="shared" si="51"/>
        <v>1.2762815625000004</v>
      </c>
      <c r="J124" s="194">
        <f t="shared" si="51"/>
        <v>1.3400956406250004</v>
      </c>
      <c r="K124" s="94"/>
      <c r="U124" s="94"/>
      <c r="V124" s="94"/>
      <c r="W124" s="94"/>
    </row>
    <row r="125" spans="1:23">
      <c r="A125" s="94"/>
      <c r="B125" s="94"/>
      <c r="C125" s="94"/>
      <c r="D125" s="94"/>
      <c r="E125" s="94"/>
      <c r="F125" s="94"/>
      <c r="G125" s="94"/>
      <c r="H125" s="94"/>
      <c r="I125" s="94"/>
      <c r="J125" s="94"/>
      <c r="K125" s="94"/>
      <c r="U125" s="94"/>
      <c r="V125" s="94"/>
      <c r="W125" s="94"/>
    </row>
    <row r="126" spans="1:23">
      <c r="A126" s="148" t="s">
        <v>0</v>
      </c>
      <c r="B126" s="148" t="s">
        <v>133</v>
      </c>
      <c r="C126" s="148" t="s">
        <v>154</v>
      </c>
      <c r="D126" s="120" t="s">
        <v>2</v>
      </c>
      <c r="E126" s="120" t="s">
        <v>3</v>
      </c>
      <c r="F126" s="120" t="s">
        <v>4</v>
      </c>
      <c r="G126" s="120" t="s">
        <v>5</v>
      </c>
      <c r="H126" s="120" t="s">
        <v>6</v>
      </c>
      <c r="I126" s="120" t="s">
        <v>171</v>
      </c>
      <c r="J126" s="120" t="s">
        <v>170</v>
      </c>
      <c r="K126" s="94"/>
      <c r="U126" s="94"/>
      <c r="V126" s="94"/>
      <c r="W126" s="94"/>
    </row>
    <row r="127" spans="1:23">
      <c r="A127" s="97" t="s">
        <v>127</v>
      </c>
      <c r="B127" s="95"/>
      <c r="C127" s="95"/>
      <c r="D127" s="95"/>
      <c r="E127" s="95"/>
      <c r="F127" s="95"/>
      <c r="G127" s="95"/>
      <c r="H127" s="95"/>
      <c r="I127" s="95"/>
      <c r="J127" s="95"/>
      <c r="K127" s="94"/>
      <c r="U127" s="94"/>
      <c r="V127" s="94"/>
      <c r="W127" s="94"/>
    </row>
    <row r="128" spans="1:23">
      <c r="A128" s="95" t="s">
        <v>290</v>
      </c>
      <c r="B128" s="95"/>
      <c r="C128" s="95"/>
      <c r="D128" s="95"/>
      <c r="E128" s="95"/>
      <c r="F128" s="95"/>
      <c r="G128" s="95"/>
      <c r="H128" s="95"/>
      <c r="I128" s="95"/>
      <c r="J128" s="95"/>
      <c r="K128" s="94"/>
      <c r="U128" s="94"/>
      <c r="V128" s="94"/>
      <c r="W128" s="94"/>
    </row>
    <row r="129" spans="1:23">
      <c r="A129" s="97" t="str">
        <f t="shared" ref="A129:A160" si="52">A8</f>
        <v>Kharif Crops</v>
      </c>
      <c r="B129" s="95"/>
      <c r="C129" s="95"/>
      <c r="D129" s="95"/>
      <c r="E129" s="95"/>
      <c r="F129" s="95"/>
      <c r="G129" s="95"/>
      <c r="H129" s="95"/>
      <c r="I129" s="95"/>
      <c r="J129" s="95"/>
      <c r="K129" s="94"/>
      <c r="U129" s="94"/>
      <c r="V129" s="94"/>
      <c r="W129" s="94"/>
    </row>
    <row r="130" spans="1:23">
      <c r="A130" s="95" t="str">
        <f t="shared" si="52"/>
        <v>Soybean</v>
      </c>
      <c r="B130" s="95"/>
      <c r="C130" s="233">
        <v>90</v>
      </c>
      <c r="D130" s="96">
        <f>(C62*(1-'5.Closing Stock &amp; W Capital'!$D$15))*$C$130*D$124</f>
        <v>0</v>
      </c>
      <c r="E130" s="96">
        <f>(D62*(1-'5.Closing Stock &amp; W Capital'!$D$15))*$C$130*E$124</f>
        <v>0</v>
      </c>
      <c r="F130" s="96">
        <f>(E62*(1-'5.Closing Stock &amp; W Capital'!$D$15))*$C$130*F$124</f>
        <v>0</v>
      </c>
      <c r="G130" s="96">
        <f>(F62*(1-'5.Closing Stock &amp; W Capital'!$D$15))*$C$130*G$124</f>
        <v>0</v>
      </c>
      <c r="H130" s="96">
        <f>(G62*(1-'5.Closing Stock &amp; W Capital'!$D$15))*$C$130*H$124</f>
        <v>0</v>
      </c>
      <c r="I130" s="96">
        <f>(H62*(1-'5.Closing Stock &amp; W Capital'!$D$15))*$C$130*I$124</f>
        <v>0</v>
      </c>
      <c r="J130" s="96">
        <f>(I62*(1-'5.Closing Stock &amp; W Capital'!$D$15))*$C$130*J$124</f>
        <v>0</v>
      </c>
      <c r="K130" s="94"/>
      <c r="U130" s="94"/>
      <c r="V130" s="94"/>
      <c r="W130" s="94"/>
    </row>
    <row r="131" spans="1:23">
      <c r="A131" s="95" t="str">
        <f t="shared" si="52"/>
        <v>Red Gram/Tur</v>
      </c>
      <c r="B131" s="95"/>
      <c r="C131" s="257">
        <v>80</v>
      </c>
      <c r="D131" s="96">
        <f>(C63*(1-'5.Closing Stock &amp; W Capital'!$D$15))*$C$131*D$124</f>
        <v>0</v>
      </c>
      <c r="E131" s="96">
        <f>((D63*(1-'5.Closing Stock &amp; W Capital'!$D$15))+(C63*'5.Closing Stock &amp; W Capital'!$D$15))*$C$131*E$124</f>
        <v>0</v>
      </c>
      <c r="F131" s="96">
        <f>((E63*(1-'5.Closing Stock &amp; W Capital'!$D$15))+(D63*'5.Closing Stock &amp; W Capital'!$D$15))*$C$131*F$124</f>
        <v>0</v>
      </c>
      <c r="G131" s="96">
        <f>((F63*(1-'5.Closing Stock &amp; W Capital'!$D$15))+(E63*'5.Closing Stock &amp; W Capital'!$D$15))*$C$131*G124</f>
        <v>0</v>
      </c>
      <c r="H131" s="96">
        <f>((G63*(1-'5.Closing Stock &amp; W Capital'!$D$15))+(F63*'5.Closing Stock &amp; W Capital'!$D$15))*$C$131*H124</f>
        <v>0</v>
      </c>
      <c r="I131" s="96">
        <f>((H63*(1-'5.Closing Stock &amp; W Capital'!$D$15))+(G63*'5.Closing Stock &amp; W Capital'!$D$15))*$C$131*I124</f>
        <v>0</v>
      </c>
      <c r="J131" s="96">
        <f>((I63*(1-'5.Closing Stock &amp; W Capital'!$D$15))+(H63*'5.Closing Stock &amp; W Capital'!$D$15))*$C$131*J124</f>
        <v>0</v>
      </c>
      <c r="K131" s="94"/>
      <c r="U131" s="179"/>
      <c r="V131" s="94"/>
      <c r="W131" s="94"/>
    </row>
    <row r="132" spans="1:23">
      <c r="A132" s="95" t="str">
        <f t="shared" si="52"/>
        <v>Paddy/Rice</v>
      </c>
      <c r="B132" s="95"/>
      <c r="C132" s="257">
        <v>65</v>
      </c>
      <c r="D132" s="96">
        <f>(C64*(1-'5.Closing Stock &amp; W Capital'!$D$15))*$C$132*D$124</f>
        <v>0</v>
      </c>
      <c r="E132" s="96">
        <f>((D64*(1-'5.Closing Stock &amp; W Capital'!$D$15))+(C64*'5.Closing Stock &amp; W Capital'!$D$15))*$C$132*E$124</f>
        <v>0</v>
      </c>
      <c r="F132" s="96">
        <f>((E64*(1-'5.Closing Stock &amp; W Capital'!$D$15))+(D64*'5.Closing Stock &amp; W Capital'!$D$15))*$C$132*F$124</f>
        <v>0</v>
      </c>
      <c r="G132" s="96">
        <f>((F64*(1-'5.Closing Stock &amp; W Capital'!$D$15))+(E64*'5.Closing Stock &amp; W Capital'!$D$15))*$C$132*G124</f>
        <v>0</v>
      </c>
      <c r="H132" s="96">
        <f>((G64*(1-'5.Closing Stock &amp; W Capital'!$D$15))+(F64*'5.Closing Stock &amp; W Capital'!$D$15))*$C$132*H124</f>
        <v>0</v>
      </c>
      <c r="I132" s="96">
        <f>((H64*(1-'5.Closing Stock &amp; W Capital'!$D$15))+(G64*'5.Closing Stock &amp; W Capital'!$D$15))*$C$132*I124</f>
        <v>0</v>
      </c>
      <c r="J132" s="96">
        <f>((I64*(1-'5.Closing Stock &amp; W Capital'!$D$15))+(H64*'5.Closing Stock &amp; W Capital'!$D$15))*$C$132*J124</f>
        <v>0</v>
      </c>
      <c r="K132" s="94"/>
      <c r="U132" s="94"/>
      <c r="V132" s="94"/>
      <c r="W132" s="94"/>
    </row>
    <row r="133" spans="1:23">
      <c r="A133" s="95" t="str">
        <f t="shared" si="52"/>
        <v>Green Gram/ Moong</v>
      </c>
      <c r="B133" s="95"/>
      <c r="C133" s="257">
        <v>85</v>
      </c>
      <c r="D133" s="96">
        <f>(C65*(1-'5.Closing Stock &amp; W Capital'!$D$15))*$C$133*D$124</f>
        <v>0</v>
      </c>
      <c r="E133" s="96">
        <f>((D65*(1-'5.Closing Stock &amp; W Capital'!$D$15))+(C65*'5.Closing Stock &amp; W Capital'!$D$15))*$C$133*E$124</f>
        <v>0</v>
      </c>
      <c r="F133" s="96">
        <f>((E65*(1-'5.Closing Stock &amp; W Capital'!$D$15))+(D65*'5.Closing Stock &amp; W Capital'!$D$15))*$C$133*F$124</f>
        <v>0</v>
      </c>
      <c r="G133" s="96">
        <f>((F65*(1-'5.Closing Stock &amp; W Capital'!$D$15))+(E65*'5.Closing Stock &amp; W Capital'!$D$15))*$C$133*G$124</f>
        <v>0</v>
      </c>
      <c r="H133" s="96">
        <f>((G65*(1-'5.Closing Stock &amp; W Capital'!$D$15))+(F65*'5.Closing Stock &amp; W Capital'!$D$15))*$C$133*H$124</f>
        <v>0</v>
      </c>
      <c r="I133" s="96">
        <f>((H65*(1-'5.Closing Stock &amp; W Capital'!$D$15))+(G65*'5.Closing Stock &amp; W Capital'!$D$15))*$C$133*I$124</f>
        <v>0</v>
      </c>
      <c r="J133" s="96">
        <f>((I65*(1-'5.Closing Stock &amp; W Capital'!$D$15))+(H65*'5.Closing Stock &amp; W Capital'!$D$15))*$C$133*J$124</f>
        <v>0</v>
      </c>
      <c r="K133" s="94"/>
      <c r="U133" s="94"/>
      <c r="V133" s="94"/>
      <c r="W133" s="94"/>
    </row>
    <row r="134" spans="1:23">
      <c r="A134" s="95" t="str">
        <f t="shared" si="52"/>
        <v>Maize</v>
      </c>
      <c r="B134" s="95"/>
      <c r="C134" s="257">
        <v>37</v>
      </c>
      <c r="D134" s="96">
        <f>(C66*(1-'5.Closing Stock &amp; W Capital'!$D$15))*$C$134*D$124</f>
        <v>0</v>
      </c>
      <c r="E134" s="96">
        <f>((D66*(1-'5.Closing Stock &amp; W Capital'!$D$15))+(C66*'5.Closing Stock &amp; W Capital'!$D$15))*$C$135*E$124</f>
        <v>0</v>
      </c>
      <c r="F134" s="96">
        <f>((E66*(1-'5.Closing Stock &amp; W Capital'!$D$15))+(D66*'5.Closing Stock &amp; W Capital'!$D$15))*$C$135*F$124</f>
        <v>0</v>
      </c>
      <c r="G134" s="96">
        <f>((F66*(1-'5.Closing Stock &amp; W Capital'!$D$15))+(E66*'5.Closing Stock &amp; W Capital'!$D$15))*$C$135*G$124</f>
        <v>0</v>
      </c>
      <c r="H134" s="96">
        <f>((G66*(1-'5.Closing Stock &amp; W Capital'!$D$15))+(F66*'5.Closing Stock &amp; W Capital'!$D$15))*$C$135*H$124</f>
        <v>0</v>
      </c>
      <c r="I134" s="96">
        <f>((H66*(1-'5.Closing Stock &amp; W Capital'!$D$15))+(G66*'5.Closing Stock &amp; W Capital'!$D$15))*$C$135*I$124</f>
        <v>0</v>
      </c>
      <c r="J134" s="96">
        <f>((I66*(1-'5.Closing Stock &amp; W Capital'!$D$15))+(H66*'5.Closing Stock &amp; W Capital'!$D$15))*$C$135*J$124</f>
        <v>0</v>
      </c>
      <c r="K134" s="94"/>
      <c r="U134" s="94"/>
      <c r="V134" s="94"/>
      <c r="W134" s="94"/>
    </row>
    <row r="135" spans="1:23">
      <c r="A135" s="95" t="str">
        <f t="shared" si="52"/>
        <v>Black Gram/Udid</v>
      </c>
      <c r="B135" s="95"/>
      <c r="C135" s="257">
        <v>75</v>
      </c>
      <c r="D135" s="96">
        <f>(C67*(1-'5.Closing Stock &amp; W Capital'!$D$15))*$C$135*D$124</f>
        <v>0</v>
      </c>
      <c r="E135" s="96">
        <f>((D67*(1-'5.Closing Stock &amp; W Capital'!$D$15))+(C67*'5.Closing Stock &amp; W Capital'!$D$15))*$C$135*E$124</f>
        <v>0</v>
      </c>
      <c r="F135" s="96">
        <f>((E67*(1-'5.Closing Stock &amp; W Capital'!$D$15))+(D67*'5.Closing Stock &amp; W Capital'!$D$15))*$C$135*F$124</f>
        <v>0</v>
      </c>
      <c r="G135" s="96">
        <f>((F67*(1-'5.Closing Stock &amp; W Capital'!$D$15))+(E67*'5.Closing Stock &amp; W Capital'!$D$15))*$C$135*G$124</f>
        <v>0</v>
      </c>
      <c r="H135" s="96">
        <f>((G67*(1-'5.Closing Stock &amp; W Capital'!$D$15))+(F67*'5.Closing Stock &amp; W Capital'!$D$15))*$C$135*H$124</f>
        <v>0</v>
      </c>
      <c r="I135" s="96">
        <f>((H67*(1-'5.Closing Stock &amp; W Capital'!$D$15))+(G67*'5.Closing Stock &amp; W Capital'!$D$15))*$C$135*I$124</f>
        <v>0</v>
      </c>
      <c r="J135" s="96">
        <f>((I67*(1-'5.Closing Stock &amp; W Capital'!$D$15))+(H67*'5.Closing Stock &amp; W Capital'!$D$15))*$C$135*J$124</f>
        <v>0</v>
      </c>
      <c r="K135" s="94"/>
      <c r="U135" s="94"/>
      <c r="V135" s="94"/>
      <c r="W135" s="94"/>
    </row>
    <row r="136" spans="1:23">
      <c r="A136" s="95" t="str">
        <f t="shared" si="52"/>
        <v>Bajra</v>
      </c>
      <c r="B136" s="95"/>
      <c r="C136" s="257">
        <v>30</v>
      </c>
      <c r="D136" s="96">
        <f>(C68*(1-'5.Closing Stock &amp; W Capital'!$D$15))*$C$136*D$124</f>
        <v>0</v>
      </c>
      <c r="E136" s="96">
        <f>((D68*(1-'5.Closing Stock &amp; W Capital'!$D$15))+(C68*'5.Closing Stock &amp; W Capital'!$D$15))*$C$136*E$124</f>
        <v>0</v>
      </c>
      <c r="F136" s="96">
        <f>((E68*(1-'5.Closing Stock &amp; W Capital'!$D$15))+(D68*'5.Closing Stock &amp; W Capital'!$D$15))*$C$136*F$124</f>
        <v>0</v>
      </c>
      <c r="G136" s="96">
        <f>((F68*(1-'5.Closing Stock &amp; W Capital'!$D$15))+(E68*'5.Closing Stock &amp; W Capital'!$D$15))*$C$136*G$124</f>
        <v>0</v>
      </c>
      <c r="H136" s="96">
        <f>((G68*(1-'5.Closing Stock &amp; W Capital'!$D$15))+(F68*'5.Closing Stock &amp; W Capital'!$D$15))*$C$136*H$124</f>
        <v>0</v>
      </c>
      <c r="I136" s="96">
        <f>((H68*(1-'5.Closing Stock &amp; W Capital'!$D$15))+(G68*'5.Closing Stock &amp; W Capital'!$D$15))*$C$136*I$124</f>
        <v>0</v>
      </c>
      <c r="J136" s="96">
        <f>((I68*(1-'5.Closing Stock &amp; W Capital'!$D$15))+(H68*'5.Closing Stock &amp; W Capital'!$D$15))*$C$136*J$124</f>
        <v>0</v>
      </c>
      <c r="K136" s="94"/>
      <c r="U136" s="94"/>
      <c r="V136" s="94"/>
      <c r="W136" s="94"/>
    </row>
    <row r="137" spans="1:23">
      <c r="A137" s="95" t="str">
        <f t="shared" si="52"/>
        <v>Jawar</v>
      </c>
      <c r="B137" s="95"/>
      <c r="C137" s="257">
        <v>30</v>
      </c>
      <c r="D137" s="96">
        <f>(C69*(1-'5.Closing Stock &amp; W Capital'!$D$15))*$C$137*D$124</f>
        <v>0</v>
      </c>
      <c r="E137" s="96">
        <f>((D69*(1-'5.Closing Stock &amp; W Capital'!$D$15))+(C69*'5.Closing Stock &amp; W Capital'!$D$15))*$C$137*E$124</f>
        <v>0</v>
      </c>
      <c r="F137" s="96">
        <f>((E69*(1-'5.Closing Stock &amp; W Capital'!$D$15))+(D69*'5.Closing Stock &amp; W Capital'!$D$15))*$C$137*F$124</f>
        <v>0</v>
      </c>
      <c r="G137" s="96">
        <f>((F69*(1-'5.Closing Stock &amp; W Capital'!$D$15))+(E69*'5.Closing Stock &amp; W Capital'!$D$15))*$C$137*G$124</f>
        <v>0</v>
      </c>
      <c r="H137" s="96">
        <f>((G69*(1-'5.Closing Stock &amp; W Capital'!$D$15))+(F69*'5.Closing Stock &amp; W Capital'!$D$15))*$C$137*H$124</f>
        <v>0</v>
      </c>
      <c r="I137" s="96">
        <f>((H69*(1-'5.Closing Stock &amp; W Capital'!$D$15))+(G69*'5.Closing Stock &amp; W Capital'!$D$15))*$C$137*I$124</f>
        <v>0</v>
      </c>
      <c r="J137" s="96">
        <f>((I69*(1-'5.Closing Stock &amp; W Capital'!$D$15))+(H69*'5.Closing Stock &amp; W Capital'!$D$15))*$C$137*J$124</f>
        <v>0</v>
      </c>
      <c r="K137" s="94"/>
      <c r="U137" s="94"/>
      <c r="V137" s="94"/>
      <c r="W137" s="94"/>
    </row>
    <row r="138" spans="1:23">
      <c r="A138" s="97" t="str">
        <f t="shared" si="52"/>
        <v>Rabi Crop</v>
      </c>
      <c r="B138" s="95"/>
      <c r="C138" s="257"/>
      <c r="D138" s="96"/>
      <c r="E138" s="96"/>
      <c r="F138" s="96"/>
      <c r="G138" s="96"/>
      <c r="H138" s="96"/>
      <c r="I138" s="96"/>
      <c r="J138" s="96"/>
      <c r="K138" s="94"/>
      <c r="U138" s="94"/>
      <c r="V138" s="94"/>
      <c r="W138" s="94"/>
    </row>
    <row r="139" spans="1:23">
      <c r="A139" s="95" t="str">
        <f t="shared" si="52"/>
        <v>Wheat</v>
      </c>
      <c r="B139" s="95"/>
      <c r="C139" s="257">
        <v>40</v>
      </c>
      <c r="D139" s="96">
        <f>(C71*(1-'5.Closing Stock &amp; W Capital'!$D$15))*$C$139*D$124</f>
        <v>0</v>
      </c>
      <c r="E139" s="96">
        <f>((D71*(1-'5.Closing Stock &amp; W Capital'!$D$15))+(C71*'5.Closing Stock &amp; W Capital'!$D$15))*$C$139*E$124</f>
        <v>0</v>
      </c>
      <c r="F139" s="96">
        <f>((E71*(1-'5.Closing Stock &amp; W Capital'!$D$15))+(D71*'5.Closing Stock &amp; W Capital'!$D$15))*$C$139*F$124</f>
        <v>0</v>
      </c>
      <c r="G139" s="96">
        <f>((F71*(1-'5.Closing Stock &amp; W Capital'!$D$15))+(E71*'5.Closing Stock &amp; W Capital'!$D$15))*$C$139*G$124</f>
        <v>0</v>
      </c>
      <c r="H139" s="96">
        <f>((G71*(1-'5.Closing Stock &amp; W Capital'!$D$15))+(F71*'5.Closing Stock &amp; W Capital'!$D$15))*$C$139*H$124</f>
        <v>0</v>
      </c>
      <c r="I139" s="96">
        <f>((H71*(1-'5.Closing Stock &amp; W Capital'!$D$15))+(G71*'5.Closing Stock &amp; W Capital'!$D$15))*$C$139*I$124</f>
        <v>0</v>
      </c>
      <c r="J139" s="96">
        <f>((I71*(1-'5.Closing Stock &amp; W Capital'!$D$15))+(H71*'5.Closing Stock &amp; W Capital'!$D$15))*$C$139*J$124</f>
        <v>0</v>
      </c>
      <c r="K139" s="94"/>
      <c r="U139" s="94"/>
      <c r="V139" s="94"/>
      <c r="W139" s="94"/>
    </row>
    <row r="140" spans="1:23">
      <c r="A140" s="95" t="str">
        <f t="shared" si="52"/>
        <v>Bengal Gram/Channa</v>
      </c>
      <c r="B140" s="95"/>
      <c r="C140" s="257">
        <v>75</v>
      </c>
      <c r="D140" s="96">
        <f>(C72*(1-'5.Closing Stock &amp; W Capital'!$D$15))*$C$140*D$124</f>
        <v>0</v>
      </c>
      <c r="E140" s="96">
        <f>((D72*(1-'5.Closing Stock &amp; W Capital'!$D$15))+(C72*'5.Closing Stock &amp; W Capital'!$D$15))*$C$140*E$124</f>
        <v>0</v>
      </c>
      <c r="F140" s="96">
        <f>((E72*(1-'5.Closing Stock &amp; W Capital'!$D$15))+(D72*'5.Closing Stock &amp; W Capital'!$D$15))*$C$140*F$124</f>
        <v>0</v>
      </c>
      <c r="G140" s="96">
        <f>((F72*(1-'5.Closing Stock &amp; W Capital'!$D$15))+(E72*'5.Closing Stock &amp; W Capital'!$D$15))*$C$140*G$124</f>
        <v>0</v>
      </c>
      <c r="H140" s="96">
        <f>((G72*(1-'5.Closing Stock &amp; W Capital'!$D$15))+(F72*'5.Closing Stock &amp; W Capital'!$D$15))*$C$140*H$124</f>
        <v>0</v>
      </c>
      <c r="I140" s="96">
        <f>((H72*(1-'5.Closing Stock &amp; W Capital'!$D$15))+(G72*'5.Closing Stock &amp; W Capital'!$D$15))*$C$140*I$124</f>
        <v>0</v>
      </c>
      <c r="J140" s="96">
        <f>((I72*(1-'5.Closing Stock &amp; W Capital'!$D$15))+(H72*'5.Closing Stock &amp; W Capital'!$D$15))*$C$140*J$124</f>
        <v>0</v>
      </c>
      <c r="K140" s="94"/>
      <c r="U140" s="94"/>
      <c r="V140" s="94"/>
      <c r="W140" s="94"/>
    </row>
    <row r="141" spans="1:23">
      <c r="A141" s="95" t="str">
        <f t="shared" si="52"/>
        <v>Jawar</v>
      </c>
      <c r="B141" s="95"/>
      <c r="C141" s="257">
        <v>27</v>
      </c>
      <c r="D141" s="96">
        <f>(C73*(1-'5.Closing Stock &amp; W Capital'!$D$15))*$C$141*D$124</f>
        <v>0</v>
      </c>
      <c r="E141" s="96">
        <f>((D73*(1-'5.Closing Stock &amp; W Capital'!$D$15))+(C73*'5.Closing Stock &amp; W Capital'!$D$15))*$C$141*E$124</f>
        <v>0</v>
      </c>
      <c r="F141" s="96">
        <f>((E73*(1-'5.Closing Stock &amp; W Capital'!$D$15))+(D73*'5.Closing Stock &amp; W Capital'!$D$15))*$C$141*F$124</f>
        <v>0</v>
      </c>
      <c r="G141" s="96">
        <f>((F73*(1-'5.Closing Stock &amp; W Capital'!$D$15))+(E73*'5.Closing Stock &amp; W Capital'!$D$15))*$C$141*G$124</f>
        <v>0</v>
      </c>
      <c r="H141" s="96">
        <f>((G73*(1-'5.Closing Stock &amp; W Capital'!$D$15))+(F73*'5.Closing Stock &amp; W Capital'!$D$15))*$C$141*H$124</f>
        <v>0</v>
      </c>
      <c r="I141" s="96">
        <f>((H73*(1-'5.Closing Stock &amp; W Capital'!$D$15))+(G73*'5.Closing Stock &amp; W Capital'!$D$15))*$C$141*I$124</f>
        <v>0</v>
      </c>
      <c r="J141" s="96">
        <f>((I73*(1-'5.Closing Stock &amp; W Capital'!$D$15))+(H73*'5.Closing Stock &amp; W Capital'!$D$15))*$C$141*J$124</f>
        <v>0</v>
      </c>
      <c r="K141" s="94"/>
      <c r="U141" s="94"/>
      <c r="V141" s="94"/>
      <c r="W141" s="94"/>
    </row>
    <row r="142" spans="1:23">
      <c r="A142" s="95" t="str">
        <f t="shared" si="52"/>
        <v>Maize</v>
      </c>
      <c r="B142" s="95"/>
      <c r="C142" s="257">
        <v>27</v>
      </c>
      <c r="D142" s="96">
        <f>(C74*(1-'5.Closing Stock &amp; W Capital'!$D$15))*$C$142*D$124</f>
        <v>0</v>
      </c>
      <c r="E142" s="96">
        <f>((D74*(1-'5.Closing Stock &amp; W Capital'!$D$15))+(C74*'5.Closing Stock &amp; W Capital'!$D$15))*$C$142*E$124</f>
        <v>0</v>
      </c>
      <c r="F142" s="96">
        <f>((E74*(1-'5.Closing Stock &amp; W Capital'!$D$15))+(D74*'5.Closing Stock &amp; W Capital'!$D$15))*$C$142*F$124</f>
        <v>0</v>
      </c>
      <c r="G142" s="96">
        <f>((F74*(1-'5.Closing Stock &amp; W Capital'!$D$15))+(E74*'5.Closing Stock &amp; W Capital'!$D$15))*$C$142*G$124</f>
        <v>0</v>
      </c>
      <c r="H142" s="96">
        <f>((G74*(1-'5.Closing Stock &amp; W Capital'!$D$15))+(F74*'5.Closing Stock &amp; W Capital'!$D$15))*$C$142*H$124</f>
        <v>0</v>
      </c>
      <c r="I142" s="96">
        <f>((H74*(1-'5.Closing Stock &amp; W Capital'!$D$15))+(G74*'5.Closing Stock &amp; W Capital'!$D$15))*$C$142*I$124</f>
        <v>0</v>
      </c>
      <c r="J142" s="96">
        <f>((I74*(1-'5.Closing Stock &amp; W Capital'!$D$15))+(H74*'5.Closing Stock &amp; W Capital'!$D$15))*$C$142*J$124</f>
        <v>0</v>
      </c>
      <c r="K142" s="94"/>
      <c r="U142" s="94"/>
      <c r="V142" s="94"/>
      <c r="W142" s="94"/>
    </row>
    <row r="143" spans="1:23">
      <c r="A143" s="95" t="str">
        <f t="shared" si="52"/>
        <v>Safflower</v>
      </c>
      <c r="B143" s="95"/>
      <c r="C143" s="257"/>
      <c r="D143" s="96">
        <f>(C75*(1-'5.Closing Stock &amp; W Capital'!$D$15))*$C$143*D$124</f>
        <v>0</v>
      </c>
      <c r="E143" s="96">
        <f>((D75*(1-'5.Closing Stock &amp; W Capital'!$D$15))+(C75*'5.Closing Stock &amp; W Capital'!$D$15))*$C$143*E$124</f>
        <v>0</v>
      </c>
      <c r="F143" s="96">
        <f>((E75*(1-'5.Closing Stock &amp; W Capital'!$D$15))+(D75*'5.Closing Stock &amp; W Capital'!$D$15))*$C$143*F$124</f>
        <v>0</v>
      </c>
      <c r="G143" s="96">
        <f>((F75*(1-'5.Closing Stock &amp; W Capital'!$D$15))+(E75*'5.Closing Stock &amp; W Capital'!$D$15))*$C$143*G$124</f>
        <v>0</v>
      </c>
      <c r="H143" s="96">
        <f>((G75*(1-'5.Closing Stock &amp; W Capital'!$D$15))+(F75*'5.Closing Stock &amp; W Capital'!$D$15))*$C$143*H$124</f>
        <v>0</v>
      </c>
      <c r="I143" s="96">
        <f>((H75*(1-'5.Closing Stock &amp; W Capital'!$D$15))+(G75*'5.Closing Stock &amp; W Capital'!$D$15))*$C$143*I$124</f>
        <v>0</v>
      </c>
      <c r="J143" s="96">
        <f>((I75*(1-'5.Closing Stock &amp; W Capital'!$D$15))+(H75*'5.Closing Stock &amp; W Capital'!$D$15))*$C$143*J$124</f>
        <v>0</v>
      </c>
      <c r="K143" s="94"/>
      <c r="U143" s="94"/>
      <c r="V143" s="94"/>
      <c r="W143" s="94"/>
    </row>
    <row r="144" spans="1:23">
      <c r="A144" s="95">
        <f t="shared" si="52"/>
        <v>0</v>
      </c>
      <c r="B144" s="95"/>
      <c r="C144" s="257"/>
      <c r="D144" s="96">
        <f>(C76*(1-'5.Closing Stock &amp; W Capital'!$D$15))*$C$144*D$124</f>
        <v>0</v>
      </c>
      <c r="E144" s="96">
        <f>((D76*(1-'5.Closing Stock &amp; W Capital'!$D$15))+(C76*'5.Closing Stock &amp; W Capital'!$D$15))*$C$144*E$124</f>
        <v>0</v>
      </c>
      <c r="F144" s="96">
        <f>((E76*(1-'5.Closing Stock &amp; W Capital'!$D$15))+(D76*'5.Closing Stock &amp; W Capital'!$D$15))*$C$144*F$124</f>
        <v>0</v>
      </c>
      <c r="G144" s="96">
        <f>((F76*(1-'5.Closing Stock &amp; W Capital'!$D$15))+(E76*'5.Closing Stock &amp; W Capital'!$D$15))*$C$144*G$124</f>
        <v>0</v>
      </c>
      <c r="H144" s="96">
        <f>((G76*(1-'5.Closing Stock &amp; W Capital'!$D$15))+(F76*'5.Closing Stock &amp; W Capital'!$D$15))*$C$144*H$124</f>
        <v>0</v>
      </c>
      <c r="I144" s="96">
        <f>((H76*(1-'5.Closing Stock &amp; W Capital'!$D$15))+(G76*'5.Closing Stock &amp; W Capital'!$D$15))*$C$144*I$124</f>
        <v>0</v>
      </c>
      <c r="J144" s="96">
        <f>((I76*(1-'5.Closing Stock &amp; W Capital'!$D$15))+(H76*'5.Closing Stock &amp; W Capital'!$D$15))*$C$144*J$124</f>
        <v>0</v>
      </c>
      <c r="K144" s="94"/>
      <c r="U144" s="94"/>
      <c r="V144" s="94"/>
      <c r="W144" s="94"/>
    </row>
    <row r="145" spans="1:23">
      <c r="A145" s="95">
        <f t="shared" si="52"/>
        <v>0</v>
      </c>
      <c r="B145" s="95"/>
      <c r="C145" s="257"/>
      <c r="D145" s="96">
        <f>(C77*(1-'5.Closing Stock &amp; W Capital'!$D$15))*$C$145*D$124</f>
        <v>0</v>
      </c>
      <c r="E145" s="96">
        <f>((D77*(1-'5.Closing Stock &amp; W Capital'!$D$15))+(C77*'5.Closing Stock &amp; W Capital'!$D$15))*$C$145*E$124</f>
        <v>0</v>
      </c>
      <c r="F145" s="96">
        <f>((E77*(1-'5.Closing Stock &amp; W Capital'!$D$15))+(D77*'5.Closing Stock &amp; W Capital'!$D$15))*$C$145*F$124</f>
        <v>0</v>
      </c>
      <c r="G145" s="96">
        <f>((F77*(1-'5.Closing Stock &amp; W Capital'!$D$15))+(E77*'5.Closing Stock &amp; W Capital'!$D$15))*$C$145*G$124</f>
        <v>0</v>
      </c>
      <c r="H145" s="96">
        <f>((G77*(1-'5.Closing Stock &amp; W Capital'!$D$15))+(F77*'5.Closing Stock &amp; W Capital'!$D$15))*$C$145*H$124</f>
        <v>0</v>
      </c>
      <c r="I145" s="96">
        <f>((H77*(1-'5.Closing Stock &amp; W Capital'!$D$15))+(G77*'5.Closing Stock &amp; W Capital'!$D$15))*$C$145*I$124</f>
        <v>0</v>
      </c>
      <c r="J145" s="96">
        <f>((I77*(1-'5.Closing Stock &amp; W Capital'!$D$15))+(H77*'5.Closing Stock &amp; W Capital'!$D$15))*$C$145*J$124</f>
        <v>0</v>
      </c>
      <c r="K145" s="94"/>
      <c r="U145" s="94"/>
      <c r="V145" s="94"/>
      <c r="W145" s="94"/>
    </row>
    <row r="146" spans="1:23">
      <c r="A146" s="95">
        <f t="shared" si="52"/>
        <v>0</v>
      </c>
      <c r="B146" s="95"/>
      <c r="C146" s="257"/>
      <c r="D146" s="96">
        <f>(C78*(1-'5.Closing Stock &amp; W Capital'!$D$15))*$C$146*D$124</f>
        <v>0</v>
      </c>
      <c r="E146" s="96">
        <f>((D78*(1-'5.Closing Stock &amp; W Capital'!$D$15))+(C78*'5.Closing Stock &amp; W Capital'!$D$15))*$C$146*E$124</f>
        <v>0</v>
      </c>
      <c r="F146" s="96">
        <f>((E78*(1-'5.Closing Stock &amp; W Capital'!$D$15))+(D78*'5.Closing Stock &amp; W Capital'!$D$15))*$C$146*F$124</f>
        <v>0</v>
      </c>
      <c r="G146" s="96">
        <f>((F78*(1-'5.Closing Stock &amp; W Capital'!$D$15))+(E78*'5.Closing Stock &amp; W Capital'!$D$15))*$C$146*G$124</f>
        <v>0</v>
      </c>
      <c r="H146" s="96">
        <f>((G78*(1-'5.Closing Stock &amp; W Capital'!$D$15))+(F78*'5.Closing Stock &amp; W Capital'!$D$15))*$C$146*H$124</f>
        <v>0</v>
      </c>
      <c r="I146" s="96">
        <f>((H78*(1-'5.Closing Stock &amp; W Capital'!$D$15))+(G78*'5.Closing Stock &amp; W Capital'!$D$15))*$C$146*I$124</f>
        <v>0</v>
      </c>
      <c r="J146" s="96">
        <f>((I78*(1-'5.Closing Stock &amp; W Capital'!$D$15))+(H78*'5.Closing Stock &amp; W Capital'!$D$15))*$C$146*J$124</f>
        <v>0</v>
      </c>
      <c r="K146" s="94"/>
      <c r="U146" s="94"/>
      <c r="V146" s="94"/>
      <c r="W146" s="94"/>
    </row>
    <row r="147" spans="1:23">
      <c r="A147" s="97" t="str">
        <f t="shared" si="52"/>
        <v>Summer</v>
      </c>
      <c r="B147" s="95"/>
      <c r="C147" s="257"/>
      <c r="D147" s="96"/>
      <c r="E147" s="96"/>
      <c r="F147" s="96"/>
      <c r="G147" s="96"/>
      <c r="H147" s="96"/>
      <c r="I147" s="96"/>
      <c r="J147" s="96"/>
      <c r="K147" s="94"/>
      <c r="U147" s="94"/>
      <c r="V147" s="94"/>
      <c r="W147" s="94"/>
    </row>
    <row r="148" spans="1:23">
      <c r="A148" s="95" t="str">
        <f t="shared" si="52"/>
        <v>Groundnut</v>
      </c>
      <c r="B148" s="95"/>
      <c r="C148" s="257"/>
      <c r="D148" s="96">
        <f>(C80*(1-'5.Closing Stock &amp; W Capital'!$D$15))*$C$148*D$124</f>
        <v>0</v>
      </c>
      <c r="E148" s="96">
        <f>((D80*(1-'5.Closing Stock &amp; W Capital'!$D$15))+(C80*'5.Closing Stock &amp; W Capital'!$D$15))*$C$148*E$124</f>
        <v>0</v>
      </c>
      <c r="F148" s="96">
        <f>((E80*(1-'5.Closing Stock &amp; W Capital'!$D$15))+(D80*'5.Closing Stock &amp; W Capital'!$D$15))*$C$148*F$124</f>
        <v>0</v>
      </c>
      <c r="G148" s="96">
        <f>((F80*(1-'5.Closing Stock &amp; W Capital'!$D$15))+(E80*'5.Closing Stock &amp; W Capital'!$D$15))*$C$148*G$124</f>
        <v>0</v>
      </c>
      <c r="H148" s="96">
        <f>((G80*(1-'5.Closing Stock &amp; W Capital'!$D$15))+(F80*'5.Closing Stock &amp; W Capital'!$D$15))*$C$148*H$124</f>
        <v>0</v>
      </c>
      <c r="I148" s="96">
        <f>((H80*(1-'5.Closing Stock &amp; W Capital'!$D$15))+(G80*'5.Closing Stock &amp; W Capital'!$D$15))*$C$148*I$124</f>
        <v>0</v>
      </c>
      <c r="J148" s="96">
        <f>((I80*(1-'5.Closing Stock &amp; W Capital'!$D$15))+(H80*'5.Closing Stock &amp; W Capital'!$D$15))*$C$148*J$124</f>
        <v>0</v>
      </c>
      <c r="K148" s="94"/>
      <c r="U148" s="94"/>
      <c r="V148" s="94"/>
      <c r="W148" s="94"/>
    </row>
    <row r="149" spans="1:23">
      <c r="A149" s="95">
        <f t="shared" si="52"/>
        <v>0</v>
      </c>
      <c r="B149" s="95"/>
      <c r="C149" s="257"/>
      <c r="D149" s="96">
        <f>(C81*(1-'5.Closing Stock &amp; W Capital'!$D$15))*$C$149*D$124</f>
        <v>0</v>
      </c>
      <c r="E149" s="96">
        <f>((D81*(1-'5.Closing Stock &amp; W Capital'!$D$15))+(C81*'5.Closing Stock &amp; W Capital'!$D$15))*$C$149*E$124</f>
        <v>0</v>
      </c>
      <c r="F149" s="96">
        <f>((E81*(1-'5.Closing Stock &amp; W Capital'!$D$15))+(D81*'5.Closing Stock &amp; W Capital'!$D$15))*$C$149*F$124</f>
        <v>0</v>
      </c>
      <c r="G149" s="96">
        <f>((F81*(1-'5.Closing Stock &amp; W Capital'!$D$15))+(E81*'5.Closing Stock &amp; W Capital'!$D$15))*$C$149*G$124</f>
        <v>0</v>
      </c>
      <c r="H149" s="96">
        <f>((G81*(1-'5.Closing Stock &amp; W Capital'!$D$15))+(F81*'5.Closing Stock &amp; W Capital'!$D$15))*$C$149*H$124</f>
        <v>0</v>
      </c>
      <c r="I149" s="96">
        <f>((H81*(1-'5.Closing Stock &amp; W Capital'!$D$15))+(G81*'5.Closing Stock &amp; W Capital'!$D$15))*$C$149*I$124</f>
        <v>0</v>
      </c>
      <c r="J149" s="96">
        <f>((I81*(1-'5.Closing Stock &amp; W Capital'!$D$15))+(H81*'5.Closing Stock &amp; W Capital'!$D$15))*$C$149*J$124</f>
        <v>0</v>
      </c>
      <c r="K149" s="94"/>
      <c r="U149" s="94"/>
      <c r="V149" s="94"/>
      <c r="W149" s="94"/>
    </row>
    <row r="150" spans="1:23">
      <c r="A150" s="95">
        <f t="shared" si="52"/>
        <v>0</v>
      </c>
      <c r="B150" s="95"/>
      <c r="C150" s="257"/>
      <c r="D150" s="96">
        <f>(C82*(1-'5.Closing Stock &amp; W Capital'!$D$15))*$C$150*D$124</f>
        <v>0</v>
      </c>
      <c r="E150" s="96">
        <f>((D82*(1-'5.Closing Stock &amp; W Capital'!$D$15))+(C82*'5.Closing Stock &amp; W Capital'!$D$15))*$C$150*E$124</f>
        <v>0</v>
      </c>
      <c r="F150" s="96">
        <f>((E82*(1-'5.Closing Stock &amp; W Capital'!$D$15))+(D82*'5.Closing Stock &amp; W Capital'!$D$15))*$C$150*F$124</f>
        <v>0</v>
      </c>
      <c r="G150" s="96">
        <f>((F82*(1-'5.Closing Stock &amp; W Capital'!$D$15))+(E82*'5.Closing Stock &amp; W Capital'!$D$15))*$C$150*G$124</f>
        <v>0</v>
      </c>
      <c r="H150" s="96">
        <f>((G82*(1-'5.Closing Stock &amp; W Capital'!$D$15))+(F82*'5.Closing Stock &amp; W Capital'!$D$15))*$C$150*H$124</f>
        <v>0</v>
      </c>
      <c r="I150" s="96">
        <f>((H82*(1-'5.Closing Stock &amp; W Capital'!$D$15))+(G82*'5.Closing Stock &amp; W Capital'!$D$15))*$C$150*I$124</f>
        <v>0</v>
      </c>
      <c r="J150" s="96">
        <f>((I82*(1-'5.Closing Stock &amp; W Capital'!$D$15))+(H82*'5.Closing Stock &amp; W Capital'!$D$15))*$C$150*J$124</f>
        <v>0</v>
      </c>
      <c r="K150" s="94"/>
      <c r="U150" s="94"/>
      <c r="V150" s="94"/>
      <c r="W150" s="94"/>
    </row>
    <row r="151" spans="1:23">
      <c r="A151" s="95">
        <f t="shared" si="52"/>
        <v>0</v>
      </c>
      <c r="B151" s="95"/>
      <c r="C151" s="257"/>
      <c r="D151" s="96">
        <f>(C83*(1-'5.Closing Stock &amp; W Capital'!$D$15))*$C$151*D$124</f>
        <v>0</v>
      </c>
      <c r="E151" s="96">
        <f>((D83*(1-'5.Closing Stock &amp; W Capital'!$D$15))+(C83*'5.Closing Stock &amp; W Capital'!$D$15))*$C$151*E$124</f>
        <v>0</v>
      </c>
      <c r="F151" s="96">
        <f>((E83*(1-'5.Closing Stock &amp; W Capital'!$D$15))+(D83*'5.Closing Stock &amp; W Capital'!$D$15))*$C$151*F$124</f>
        <v>0</v>
      </c>
      <c r="G151" s="96">
        <f>((F83*(1-'5.Closing Stock &amp; W Capital'!$D$15))+(E83*'5.Closing Stock &amp; W Capital'!$D$15))*$C$151*G$124</f>
        <v>0</v>
      </c>
      <c r="H151" s="96">
        <f>((G83*(1-'5.Closing Stock &amp; W Capital'!$D$15))+(F83*'5.Closing Stock &amp; W Capital'!$D$15))*$C$151*H$124</f>
        <v>0</v>
      </c>
      <c r="I151" s="96">
        <f>((H83*(1-'5.Closing Stock &amp; W Capital'!$D$15))+(G83*'5.Closing Stock &amp; W Capital'!$D$15))*$C$151*I$124</f>
        <v>0</v>
      </c>
      <c r="J151" s="96">
        <f>((I83*(1-'5.Closing Stock &amp; W Capital'!$D$15))+(H83*'5.Closing Stock &amp; W Capital'!$D$15))*$C$151*J$124</f>
        <v>0</v>
      </c>
      <c r="K151" s="94"/>
      <c r="U151" s="94"/>
      <c r="V151" s="94"/>
      <c r="W151" s="94"/>
    </row>
    <row r="152" spans="1:23">
      <c r="A152" s="95">
        <f t="shared" si="52"/>
        <v>0</v>
      </c>
      <c r="B152" s="95"/>
      <c r="C152" s="257"/>
      <c r="D152" s="96">
        <f>(C84*(1-'5.Closing Stock &amp; W Capital'!$D$15))*$C$152*D$124</f>
        <v>0</v>
      </c>
      <c r="E152" s="96">
        <f>((D84*(1-'5.Closing Stock &amp; W Capital'!$D$15))+(C84*'5.Closing Stock &amp; W Capital'!$D$15))*$C$152*E$124</f>
        <v>0</v>
      </c>
      <c r="F152" s="96">
        <f>((E84*(1-'5.Closing Stock &amp; W Capital'!$D$15))+(D84*'5.Closing Stock &amp; W Capital'!$D$15))*$C$152*F$124</f>
        <v>0</v>
      </c>
      <c r="G152" s="96">
        <f>((F84*(1-'5.Closing Stock &amp; W Capital'!$D$15))+(E84*'5.Closing Stock &amp; W Capital'!$D$15))*$C$152*G$124</f>
        <v>0</v>
      </c>
      <c r="H152" s="96">
        <f>((G84*(1-'5.Closing Stock &amp; W Capital'!$D$15))+(F84*'5.Closing Stock &amp; W Capital'!$D$15))*$C$152*H$124</f>
        <v>0</v>
      </c>
      <c r="I152" s="96">
        <f>((H84*(1-'5.Closing Stock &amp; W Capital'!$D$15))+(G84*'5.Closing Stock &amp; W Capital'!$D$15))*$C$152*I$124</f>
        <v>0</v>
      </c>
      <c r="J152" s="96">
        <f>((I84*(1-'5.Closing Stock &amp; W Capital'!$D$15))+(H84*'5.Closing Stock &amp; W Capital'!$D$15))*$C$152*J$124</f>
        <v>0</v>
      </c>
      <c r="K152" s="94"/>
      <c r="U152" s="94"/>
      <c r="V152" s="94"/>
      <c r="W152" s="94"/>
    </row>
    <row r="153" spans="1:23">
      <c r="A153" s="95" t="str">
        <f t="shared" si="52"/>
        <v>Fruit  &amp; Vegetables Crop Production Details</v>
      </c>
      <c r="B153" s="95"/>
      <c r="C153" s="257"/>
      <c r="D153" s="96"/>
      <c r="E153" s="96"/>
      <c r="F153" s="96"/>
      <c r="G153" s="96"/>
      <c r="H153" s="96"/>
      <c r="I153" s="96"/>
      <c r="J153" s="96"/>
      <c r="K153" s="94"/>
      <c r="U153" s="94"/>
      <c r="V153" s="94"/>
      <c r="W153" s="94"/>
    </row>
    <row r="154" spans="1:23">
      <c r="A154" s="95" t="str">
        <f t="shared" si="52"/>
        <v>Onion</v>
      </c>
      <c r="B154" s="95"/>
      <c r="C154" s="257"/>
      <c r="D154" s="96">
        <f>(C86*(1-'5.Closing Stock &amp; W Capital'!$D$15))*$C154*D$124</f>
        <v>0</v>
      </c>
      <c r="E154" s="96">
        <f>((D86*(1-'5.Closing Stock &amp; W Capital'!$D$15))+(C86*'5.Closing Stock &amp; W Capital'!$D$15))*$C154*E$124</f>
        <v>0</v>
      </c>
      <c r="F154" s="96">
        <f>((E86*(1-'5.Closing Stock &amp; W Capital'!$D$15))+(D86*'5.Closing Stock &amp; W Capital'!$D$15))*$C$152*F$124</f>
        <v>0</v>
      </c>
      <c r="G154" s="96">
        <f>((F86*(1-'5.Closing Stock &amp; W Capital'!$D$15))+(E86*'5.Closing Stock &amp; W Capital'!$D$15))*$C$152*G$124</f>
        <v>0</v>
      </c>
      <c r="H154" s="96">
        <f>((G86*(1-'5.Closing Stock &amp; W Capital'!$D$15))+(F86*'5.Closing Stock &amp; W Capital'!$D$15))*$C$152*H$124</f>
        <v>0</v>
      </c>
      <c r="I154" s="96">
        <f>((H86*(1-'5.Closing Stock &amp; W Capital'!$D$15))+(G86*'5.Closing Stock &amp; W Capital'!$D$15))*$C$152*I$124</f>
        <v>0</v>
      </c>
      <c r="J154" s="96">
        <f>((I86*(1-'5.Closing Stock &amp; W Capital'!$D$15))+(H86*'5.Closing Stock &amp; W Capital'!$D$15))*$C$152*J$124</f>
        <v>0</v>
      </c>
      <c r="K154" s="94"/>
      <c r="U154" s="94"/>
      <c r="V154" s="94"/>
      <c r="W154" s="94"/>
    </row>
    <row r="155" spans="1:23">
      <c r="A155" s="95" t="str">
        <f t="shared" si="52"/>
        <v>Tomato</v>
      </c>
      <c r="B155" s="95"/>
      <c r="C155" s="257"/>
      <c r="D155" s="96">
        <f>(C87*(1-'5.Closing Stock &amp; W Capital'!$D$15))*$C155*D$124</f>
        <v>0</v>
      </c>
      <c r="E155" s="96">
        <f>((D87*(1-'5.Closing Stock &amp; W Capital'!$D$15))+(C87*'5.Closing Stock &amp; W Capital'!$D$15))*$C155*E$124</f>
        <v>0</v>
      </c>
      <c r="F155" s="96">
        <f>((E87*(1-'5.Closing Stock &amp; W Capital'!$D$15))+(D87*'5.Closing Stock &amp; W Capital'!$D$15))*$C$152*F$124</f>
        <v>0</v>
      </c>
      <c r="G155" s="96">
        <f>((F87*(1-'5.Closing Stock &amp; W Capital'!$D$15))+(E87*'5.Closing Stock &amp; W Capital'!$D$15))*$C$152*G$124</f>
        <v>0</v>
      </c>
      <c r="H155" s="96">
        <f>((G87*(1-'5.Closing Stock &amp; W Capital'!$D$15))+(F87*'5.Closing Stock &amp; W Capital'!$D$15))*$C$152*H$124</f>
        <v>0</v>
      </c>
      <c r="I155" s="96">
        <f>((H87*(1-'5.Closing Stock &amp; W Capital'!$D$15))+(G87*'5.Closing Stock &amp; W Capital'!$D$15))*$C$152*I$124</f>
        <v>0</v>
      </c>
      <c r="J155" s="96">
        <f>((I87*(1-'5.Closing Stock &amp; W Capital'!$D$15))+(H87*'5.Closing Stock &amp; W Capital'!$D$15))*$C$152*J$124</f>
        <v>0</v>
      </c>
      <c r="K155" s="94"/>
      <c r="U155" s="94"/>
      <c r="V155" s="94"/>
      <c r="W155" s="94"/>
    </row>
    <row r="156" spans="1:23">
      <c r="A156" s="95" t="str">
        <f t="shared" si="52"/>
        <v>Okra</v>
      </c>
      <c r="B156" s="95"/>
      <c r="C156" s="257"/>
      <c r="D156" s="96">
        <f>(C88*(1-'5.Closing Stock &amp; W Capital'!$D$15))*$C156*D$124</f>
        <v>0</v>
      </c>
      <c r="E156" s="96">
        <f>((D88*(1-'5.Closing Stock &amp; W Capital'!$D$15))+(C88*'5.Closing Stock &amp; W Capital'!$D$15))*$C156*E$124</f>
        <v>0</v>
      </c>
      <c r="F156" s="96">
        <f>((E88*(1-'5.Closing Stock &amp; W Capital'!$D$15))+(D88*'5.Closing Stock &amp; W Capital'!$D$15))*$C$152*F$124</f>
        <v>0</v>
      </c>
      <c r="G156" s="96">
        <f>((F88*(1-'5.Closing Stock &amp; W Capital'!$D$15))+(E88*'5.Closing Stock &amp; W Capital'!$D$15))*$C$152*G$124</f>
        <v>0</v>
      </c>
      <c r="H156" s="96">
        <f>((G88*(1-'5.Closing Stock &amp; W Capital'!$D$15))+(F88*'5.Closing Stock &amp; W Capital'!$D$15))*$C$152*H$124</f>
        <v>0</v>
      </c>
      <c r="I156" s="96">
        <f>((H88*(1-'5.Closing Stock &amp; W Capital'!$D$15))+(G88*'5.Closing Stock &amp; W Capital'!$D$15))*$C$152*I$124</f>
        <v>0</v>
      </c>
      <c r="J156" s="96">
        <f>((I88*(1-'5.Closing Stock &amp; W Capital'!$D$15))+(H88*'5.Closing Stock &amp; W Capital'!$D$15))*$C$152*J$124</f>
        <v>0</v>
      </c>
      <c r="K156" s="94"/>
      <c r="U156" s="94"/>
      <c r="V156" s="94"/>
      <c r="W156" s="94"/>
    </row>
    <row r="157" spans="1:23">
      <c r="A157" s="95" t="str">
        <f t="shared" si="52"/>
        <v>Chilli</v>
      </c>
      <c r="B157" s="95"/>
      <c r="C157" s="257"/>
      <c r="D157" s="96">
        <f>(C89*(1-'5.Closing Stock &amp; W Capital'!$D$15))*$C157*D$124</f>
        <v>0</v>
      </c>
      <c r="E157" s="96">
        <f>((D89*(1-'5.Closing Stock &amp; W Capital'!$D$15))+(C89*'5.Closing Stock &amp; W Capital'!$D$15))*$C157*E$124</f>
        <v>0</v>
      </c>
      <c r="F157" s="96">
        <f>((E89*(1-'5.Closing Stock &amp; W Capital'!$D$15))+(D89*'5.Closing Stock &amp; W Capital'!$D$15))*$C$152*F$124</f>
        <v>0</v>
      </c>
      <c r="G157" s="96">
        <f>((F89*(1-'5.Closing Stock &amp; W Capital'!$D$15))+(E89*'5.Closing Stock &amp; W Capital'!$D$15))*$C$152*G$124</f>
        <v>0</v>
      </c>
      <c r="H157" s="96">
        <f>((G89*(1-'5.Closing Stock &amp; W Capital'!$D$15))+(F89*'5.Closing Stock &amp; W Capital'!$D$15))*$C$152*H$124</f>
        <v>0</v>
      </c>
      <c r="I157" s="96">
        <f>((H89*(1-'5.Closing Stock &amp; W Capital'!$D$15))+(G89*'5.Closing Stock &amp; W Capital'!$D$15))*$C$152*I$124</f>
        <v>0</v>
      </c>
      <c r="J157" s="96">
        <f>((I89*(1-'5.Closing Stock &amp; W Capital'!$D$15))+(H89*'5.Closing Stock &amp; W Capital'!$D$15))*$C$152*J$124</f>
        <v>0</v>
      </c>
      <c r="K157" s="94"/>
      <c r="U157" s="94"/>
      <c r="V157" s="94"/>
      <c r="W157" s="94"/>
    </row>
    <row r="158" spans="1:23">
      <c r="A158" s="95" t="str">
        <f t="shared" si="52"/>
        <v>Potato</v>
      </c>
      <c r="B158" s="95"/>
      <c r="C158" s="257"/>
      <c r="D158" s="96">
        <f>(C90*(1-'5.Closing Stock &amp; W Capital'!$D$15))*$C158*D$124</f>
        <v>0</v>
      </c>
      <c r="E158" s="96">
        <f>((D90*(1-'5.Closing Stock &amp; W Capital'!$D$15))+(C90*'5.Closing Stock &amp; W Capital'!$D$15))*$C158*E$124</f>
        <v>0</v>
      </c>
      <c r="F158" s="96">
        <f>((E90*(1-'5.Closing Stock &amp; W Capital'!$D$15))+(D90*'5.Closing Stock &amp; W Capital'!$D$15))*$C$152*F$124</f>
        <v>0</v>
      </c>
      <c r="G158" s="96">
        <f>((F90*(1-'5.Closing Stock &amp; W Capital'!$D$15))+(E90*'5.Closing Stock &amp; W Capital'!$D$15))*$C$152*G$124</f>
        <v>0</v>
      </c>
      <c r="H158" s="96">
        <f>((G90*(1-'5.Closing Stock &amp; W Capital'!$D$15))+(F90*'5.Closing Stock &amp; W Capital'!$D$15))*$C$152*H$124</f>
        <v>0</v>
      </c>
      <c r="I158" s="96">
        <f>((H90*(1-'5.Closing Stock &amp; W Capital'!$D$15))+(G90*'5.Closing Stock &amp; W Capital'!$D$15))*$C$152*I$124</f>
        <v>0</v>
      </c>
      <c r="J158" s="96">
        <f>((I90*(1-'5.Closing Stock &amp; W Capital'!$D$15))+(H90*'5.Closing Stock &amp; W Capital'!$D$15))*$C$152*J$124</f>
        <v>0</v>
      </c>
      <c r="K158" s="94"/>
      <c r="U158" s="94"/>
      <c r="V158" s="94"/>
      <c r="W158" s="94"/>
    </row>
    <row r="159" spans="1:23">
      <c r="A159" s="95">
        <f t="shared" si="52"/>
        <v>0</v>
      </c>
      <c r="B159" s="95"/>
      <c r="C159" s="257"/>
      <c r="D159" s="96">
        <f>(C91*(1-'5.Closing Stock &amp; W Capital'!$D$15))*$C159*D$124</f>
        <v>0</v>
      </c>
      <c r="E159" s="96">
        <f>((D91*(1-'5.Closing Stock &amp; W Capital'!$D$15))+(C91*'5.Closing Stock &amp; W Capital'!$D$15))*$C159*E$124</f>
        <v>0</v>
      </c>
      <c r="F159" s="96">
        <f>((E91*(1-'5.Closing Stock &amp; W Capital'!$D$15))+(D91*'5.Closing Stock &amp; W Capital'!$D$15))*$C$152*F$124</f>
        <v>0</v>
      </c>
      <c r="G159" s="96">
        <f>((F91*(1-'5.Closing Stock &amp; W Capital'!$D$15))+(E91*'5.Closing Stock &amp; W Capital'!$D$15))*$C$152*G$124</f>
        <v>0</v>
      </c>
      <c r="H159" s="96">
        <f>((G91*(1-'5.Closing Stock &amp; W Capital'!$D$15))+(F91*'5.Closing Stock &amp; W Capital'!$D$15))*$C$152*H$124</f>
        <v>0</v>
      </c>
      <c r="I159" s="96">
        <f>((H91*(1-'5.Closing Stock &amp; W Capital'!$D$15))+(G91*'5.Closing Stock &amp; W Capital'!$D$15))*$C$152*I$124</f>
        <v>0</v>
      </c>
      <c r="J159" s="96">
        <f>((I91*(1-'5.Closing Stock &amp; W Capital'!$D$15))+(H91*'5.Closing Stock &amp; W Capital'!$D$15))*$C$152*J$124</f>
        <v>0</v>
      </c>
      <c r="K159" s="94"/>
      <c r="U159" s="94"/>
      <c r="V159" s="94"/>
      <c r="W159" s="94"/>
    </row>
    <row r="160" spans="1:23">
      <c r="A160" s="95">
        <f t="shared" si="52"/>
        <v>0</v>
      </c>
      <c r="B160" s="95"/>
      <c r="C160" s="257"/>
      <c r="D160" s="96">
        <f>(C92*(1-'5.Closing Stock &amp; W Capital'!$D$15))*$C160*D$124</f>
        <v>0</v>
      </c>
      <c r="E160" s="96">
        <f>((D92*(1-'5.Closing Stock &amp; W Capital'!$D$15))+(C92*'5.Closing Stock &amp; W Capital'!$D$15))*$C160*E$124</f>
        <v>0</v>
      </c>
      <c r="F160" s="96">
        <f>((E92*(1-'5.Closing Stock &amp; W Capital'!$D$15))+(D92*'5.Closing Stock &amp; W Capital'!$D$15))*$C$152*F$124</f>
        <v>0</v>
      </c>
      <c r="G160" s="96">
        <f>((F92*(1-'5.Closing Stock &amp; W Capital'!$D$15))+(E92*'5.Closing Stock &amp; W Capital'!$D$15))*$C$152*G$124</f>
        <v>0</v>
      </c>
      <c r="H160" s="96">
        <f>((G92*(1-'5.Closing Stock &amp; W Capital'!$D$15))+(F92*'5.Closing Stock &amp; W Capital'!$D$15))*$C$152*H$124</f>
        <v>0</v>
      </c>
      <c r="I160" s="96">
        <f>((H92*(1-'5.Closing Stock &amp; W Capital'!$D$15))+(G92*'5.Closing Stock &amp; W Capital'!$D$15))*$C$152*I$124</f>
        <v>0</v>
      </c>
      <c r="J160" s="96">
        <f>((I92*(1-'5.Closing Stock &amp; W Capital'!$D$15))+(H92*'5.Closing Stock &amp; W Capital'!$D$15))*$C$152*J$124</f>
        <v>0</v>
      </c>
      <c r="K160" s="94"/>
      <c r="U160" s="94"/>
      <c r="V160" s="94"/>
      <c r="W160" s="94"/>
    </row>
    <row r="161" spans="1:23">
      <c r="A161" s="95">
        <f t="shared" ref="A161:A179" si="53">A40</f>
        <v>0</v>
      </c>
      <c r="B161" s="95"/>
      <c r="C161" s="257"/>
      <c r="D161" s="96">
        <f>(C93*(1-'5.Closing Stock &amp; W Capital'!$D$15))*$C161*D$124</f>
        <v>0</v>
      </c>
      <c r="E161" s="96">
        <f>((D93*(1-'5.Closing Stock &amp; W Capital'!$D$15))+(C93*'5.Closing Stock &amp; W Capital'!$D$15))*$C161*E$124</f>
        <v>0</v>
      </c>
      <c r="F161" s="96">
        <f>((E93*(1-'5.Closing Stock &amp; W Capital'!$D$15))+(D93*'5.Closing Stock &amp; W Capital'!$D$15))*$C$152*F$124</f>
        <v>0</v>
      </c>
      <c r="G161" s="96">
        <f>((F93*(1-'5.Closing Stock &amp; W Capital'!$D$15))+(E93*'5.Closing Stock &amp; W Capital'!$D$15))*$C$152*G$124</f>
        <v>0</v>
      </c>
      <c r="H161" s="96">
        <f>((G93*(1-'5.Closing Stock &amp; W Capital'!$D$15))+(F93*'5.Closing Stock &amp; W Capital'!$D$15))*$C$152*H$124</f>
        <v>0</v>
      </c>
      <c r="I161" s="96">
        <f>((H93*(1-'5.Closing Stock &amp; W Capital'!$D$15))+(G93*'5.Closing Stock &amp; W Capital'!$D$15))*$C$152*I$124</f>
        <v>0</v>
      </c>
      <c r="J161" s="96">
        <f>((I93*(1-'5.Closing Stock &amp; W Capital'!$D$15))+(H93*'5.Closing Stock &amp; W Capital'!$D$15))*$C$152*J$124</f>
        <v>0</v>
      </c>
      <c r="K161" s="94"/>
      <c r="U161" s="94"/>
      <c r="V161" s="94"/>
      <c r="W161" s="94"/>
    </row>
    <row r="162" spans="1:23">
      <c r="A162" s="95">
        <f t="shared" si="53"/>
        <v>0</v>
      </c>
      <c r="B162" s="95"/>
      <c r="C162" s="257"/>
      <c r="D162" s="96">
        <f>(C94*(1-'5.Closing Stock &amp; W Capital'!$D$15))*$C162*D$124</f>
        <v>0</v>
      </c>
      <c r="E162" s="96">
        <f>((D94*(1-'5.Closing Stock &amp; W Capital'!$D$15))+(C94*'5.Closing Stock &amp; W Capital'!$D$15))*$C162*E$124</f>
        <v>0</v>
      </c>
      <c r="F162" s="96">
        <f>((E94*(1-'5.Closing Stock &amp; W Capital'!$D$15))+(D94*'5.Closing Stock &amp; W Capital'!$D$15))*$C$152*F$124</f>
        <v>0</v>
      </c>
      <c r="G162" s="96">
        <f>((F94*(1-'5.Closing Stock &amp; W Capital'!$D$15))+(E94*'5.Closing Stock &amp; W Capital'!$D$15))*$C$152*G$124</f>
        <v>0</v>
      </c>
      <c r="H162" s="96">
        <f>((G94*(1-'5.Closing Stock &amp; W Capital'!$D$15))+(F94*'5.Closing Stock &amp; W Capital'!$D$15))*$C$152*H$124</f>
        <v>0</v>
      </c>
      <c r="I162" s="96">
        <f>((H94*(1-'5.Closing Stock &amp; W Capital'!$D$15))+(G94*'5.Closing Stock &amp; W Capital'!$D$15))*$C$152*I$124</f>
        <v>0</v>
      </c>
      <c r="J162" s="96">
        <f>((I94*(1-'5.Closing Stock &amp; W Capital'!$D$15))+(H94*'5.Closing Stock &amp; W Capital'!$D$15))*$C$152*J$124</f>
        <v>0</v>
      </c>
      <c r="K162" s="94"/>
      <c r="U162" s="94"/>
      <c r="V162" s="94"/>
      <c r="W162" s="94"/>
    </row>
    <row r="163" spans="1:23">
      <c r="A163" s="95" t="str">
        <f t="shared" si="53"/>
        <v>Onion</v>
      </c>
      <c r="B163" s="95"/>
      <c r="C163" s="257"/>
      <c r="D163" s="96">
        <f>(C95*(1-'5.Closing Stock &amp; W Capital'!$D$15))*$C163*D$124</f>
        <v>0</v>
      </c>
      <c r="E163" s="96">
        <f>((D95*(1-'5.Closing Stock &amp; W Capital'!$D$15))+(C95*'5.Closing Stock &amp; W Capital'!$D$15))*$C163*E$124</f>
        <v>0</v>
      </c>
      <c r="F163" s="96">
        <f>((E95*(1-'5.Closing Stock &amp; W Capital'!$D$15))+(D95*'5.Closing Stock &amp; W Capital'!$D$15))*$C$152*F$124</f>
        <v>0</v>
      </c>
      <c r="G163" s="96">
        <f>((F95*(1-'5.Closing Stock &amp; W Capital'!$D$15))+(E95*'5.Closing Stock &amp; W Capital'!$D$15))*$C$152*G$124</f>
        <v>0</v>
      </c>
      <c r="H163" s="96">
        <f>((G95*(1-'5.Closing Stock &amp; W Capital'!$D$15))+(F95*'5.Closing Stock &amp; W Capital'!$D$15))*$C$152*H$124</f>
        <v>0</v>
      </c>
      <c r="I163" s="96">
        <f>((H95*(1-'5.Closing Stock &amp; W Capital'!$D$15))+(G95*'5.Closing Stock &amp; W Capital'!$D$15))*$C$152*I$124</f>
        <v>0</v>
      </c>
      <c r="J163" s="96">
        <f>((I95*(1-'5.Closing Stock &amp; W Capital'!$D$15))+(H95*'5.Closing Stock &amp; W Capital'!$D$15))*$C$152*J$124</f>
        <v>0</v>
      </c>
      <c r="K163" s="94"/>
      <c r="U163" s="94"/>
      <c r="V163" s="94"/>
      <c r="W163" s="94"/>
    </row>
    <row r="164" spans="1:23">
      <c r="A164" s="95" t="str">
        <f t="shared" si="53"/>
        <v>Tomato</v>
      </c>
      <c r="B164" s="95"/>
      <c r="C164" s="257"/>
      <c r="D164" s="96">
        <f>(C96*(1-'5.Closing Stock &amp; W Capital'!$D$15))*$C164*D$124</f>
        <v>0</v>
      </c>
      <c r="E164" s="96">
        <f>((D96*(1-'5.Closing Stock &amp; W Capital'!$D$15))+(C96*'5.Closing Stock &amp; W Capital'!$D$15))*$C164*E$124</f>
        <v>0</v>
      </c>
      <c r="F164" s="96">
        <f>((E96*(1-'5.Closing Stock &amp; W Capital'!$D$15))+(D96*'5.Closing Stock &amp; W Capital'!$D$15))*$C$152*F$124</f>
        <v>0</v>
      </c>
      <c r="G164" s="96">
        <f>((F96*(1-'5.Closing Stock &amp; W Capital'!$D$15))+(E96*'5.Closing Stock &amp; W Capital'!$D$15))*$C$152*G$124</f>
        <v>0</v>
      </c>
      <c r="H164" s="96">
        <f>((G96*(1-'5.Closing Stock &amp; W Capital'!$D$15))+(F96*'5.Closing Stock &amp; W Capital'!$D$15))*$C$152*H$124</f>
        <v>0</v>
      </c>
      <c r="I164" s="96">
        <f>((H96*(1-'5.Closing Stock &amp; W Capital'!$D$15))+(G96*'5.Closing Stock &amp; W Capital'!$D$15))*$C$152*I$124</f>
        <v>0</v>
      </c>
      <c r="J164" s="96">
        <f>((I96*(1-'5.Closing Stock &amp; W Capital'!$D$15))+(H96*'5.Closing Stock &amp; W Capital'!$D$15))*$C$152*J$124</f>
        <v>0</v>
      </c>
      <c r="K164" s="94"/>
      <c r="U164" s="94"/>
      <c r="V164" s="94"/>
      <c r="W164" s="94"/>
    </row>
    <row r="165" spans="1:23">
      <c r="A165" s="95" t="str">
        <f t="shared" si="53"/>
        <v>Okra</v>
      </c>
      <c r="B165" s="95"/>
      <c r="C165" s="257"/>
      <c r="D165" s="96">
        <f>(C97*(1-'5.Closing Stock &amp; W Capital'!$D$15))*$C165*D$124</f>
        <v>0</v>
      </c>
      <c r="E165" s="96">
        <f>((D97*(1-'5.Closing Stock &amp; W Capital'!$D$15))+(C97*'5.Closing Stock &amp; W Capital'!$D$15))*$C165*E$124</f>
        <v>0</v>
      </c>
      <c r="F165" s="96">
        <f>((E97*(1-'5.Closing Stock &amp; W Capital'!$D$15))+(D97*'5.Closing Stock &amp; W Capital'!$D$15))*$C$152*F$124</f>
        <v>0</v>
      </c>
      <c r="G165" s="96">
        <f>((F97*(1-'5.Closing Stock &amp; W Capital'!$D$15))+(E97*'5.Closing Stock &amp; W Capital'!$D$15))*$C$152*G$124</f>
        <v>0</v>
      </c>
      <c r="H165" s="96">
        <f>((G97*(1-'5.Closing Stock &amp; W Capital'!$D$15))+(F97*'5.Closing Stock &amp; W Capital'!$D$15))*$C$152*H$124</f>
        <v>0</v>
      </c>
      <c r="I165" s="96">
        <f>((H97*(1-'5.Closing Stock &amp; W Capital'!$D$15))+(G97*'5.Closing Stock &amp; W Capital'!$D$15))*$C$152*I$124</f>
        <v>0</v>
      </c>
      <c r="J165" s="96">
        <f>((I97*(1-'5.Closing Stock &amp; W Capital'!$D$15))+(H97*'5.Closing Stock &amp; W Capital'!$D$15))*$C$152*J$124</f>
        <v>0</v>
      </c>
      <c r="K165" s="94"/>
      <c r="U165" s="94"/>
      <c r="V165" s="94"/>
      <c r="W165" s="94"/>
    </row>
    <row r="166" spans="1:23">
      <c r="A166" s="95" t="str">
        <f t="shared" si="53"/>
        <v>Chilli</v>
      </c>
      <c r="B166" s="95"/>
      <c r="C166" s="257"/>
      <c r="D166" s="96">
        <f>(C98*(1-'5.Closing Stock &amp; W Capital'!$D$15))*$C166*D$124</f>
        <v>0</v>
      </c>
      <c r="E166" s="96">
        <f>((D98*(1-'5.Closing Stock &amp; W Capital'!$D$15))+(C98*'5.Closing Stock &amp; W Capital'!$D$15))*$C166*E$124</f>
        <v>0</v>
      </c>
      <c r="F166" s="96">
        <f>((E98*(1-'5.Closing Stock &amp; W Capital'!$D$15))+(D98*'5.Closing Stock &amp; W Capital'!$D$15))*$C$152*F$124</f>
        <v>0</v>
      </c>
      <c r="G166" s="96">
        <f>((F98*(1-'5.Closing Stock &amp; W Capital'!$D$15))+(E98*'5.Closing Stock &amp; W Capital'!$D$15))*$C$152*G$124</f>
        <v>0</v>
      </c>
      <c r="H166" s="96">
        <f>((G98*(1-'5.Closing Stock &amp; W Capital'!$D$15))+(F98*'5.Closing Stock &amp; W Capital'!$D$15))*$C$152*H$124</f>
        <v>0</v>
      </c>
      <c r="I166" s="96">
        <f>((H98*(1-'5.Closing Stock &amp; W Capital'!$D$15))+(G98*'5.Closing Stock &amp; W Capital'!$D$15))*$C$152*I$124</f>
        <v>0</v>
      </c>
      <c r="J166" s="96">
        <f>((I98*(1-'5.Closing Stock &amp; W Capital'!$D$15))+(H98*'5.Closing Stock &amp; W Capital'!$D$15))*$C$152*J$124</f>
        <v>0</v>
      </c>
      <c r="K166" s="94"/>
      <c r="U166" s="94"/>
      <c r="V166" s="94"/>
      <c r="W166" s="94"/>
    </row>
    <row r="167" spans="1:23">
      <c r="A167" s="95" t="str">
        <f t="shared" si="53"/>
        <v>Brinjal</v>
      </c>
      <c r="B167" s="95"/>
      <c r="C167" s="257"/>
      <c r="D167" s="96">
        <f>(C99*(1-'5.Closing Stock &amp; W Capital'!$D$15))*$C167*D$124</f>
        <v>0</v>
      </c>
      <c r="E167" s="96">
        <f>((D99*(1-'5.Closing Stock &amp; W Capital'!$D$15))+(C99*'5.Closing Stock &amp; W Capital'!$D$15))*$C167*E$124</f>
        <v>0</v>
      </c>
      <c r="F167" s="96">
        <f>((E99*(1-'5.Closing Stock &amp; W Capital'!$D$15))+(D99*'5.Closing Stock &amp; W Capital'!$D$15))*$C$152*F$124</f>
        <v>0</v>
      </c>
      <c r="G167" s="96">
        <f>((F99*(1-'5.Closing Stock &amp; W Capital'!$D$15))+(E99*'5.Closing Stock &amp; W Capital'!$D$15))*$C$152*G$124</f>
        <v>0</v>
      </c>
      <c r="H167" s="96">
        <f>((G99*(1-'5.Closing Stock &amp; W Capital'!$D$15))+(F99*'5.Closing Stock &amp; W Capital'!$D$15))*$C$152*H$124</f>
        <v>0</v>
      </c>
      <c r="I167" s="96">
        <f>((H99*(1-'5.Closing Stock &amp; W Capital'!$D$15))+(G99*'5.Closing Stock &amp; W Capital'!$D$15))*$C$152*I$124</f>
        <v>0</v>
      </c>
      <c r="J167" s="96">
        <f>((I99*(1-'5.Closing Stock &amp; W Capital'!$D$15))+(H99*'5.Closing Stock &amp; W Capital'!$D$15))*$C$152*J$124</f>
        <v>0</v>
      </c>
      <c r="K167" s="94"/>
      <c r="U167" s="94"/>
      <c r="V167" s="94"/>
      <c r="W167" s="94"/>
    </row>
    <row r="168" spans="1:23">
      <c r="A168" s="95">
        <f t="shared" si="53"/>
        <v>0</v>
      </c>
      <c r="B168" s="95"/>
      <c r="C168" s="257"/>
      <c r="D168" s="96">
        <f>(C100*(1-'5.Closing Stock &amp; W Capital'!$D$15))*$C168*D$124</f>
        <v>0</v>
      </c>
      <c r="E168" s="96">
        <f>((D100*(1-'5.Closing Stock &amp; W Capital'!$D$15))+(C100*'5.Closing Stock &amp; W Capital'!$D$15))*$C168*E$124</f>
        <v>0</v>
      </c>
      <c r="F168" s="96">
        <f>((E100*(1-'5.Closing Stock &amp; W Capital'!$D$15))+(D100*'5.Closing Stock &amp; W Capital'!$D$15))*$C$152*F$124</f>
        <v>0</v>
      </c>
      <c r="G168" s="96">
        <f>((F100*(1-'5.Closing Stock &amp; W Capital'!$D$15))+(E100*'5.Closing Stock &amp; W Capital'!$D$15))*$C$152*G$124</f>
        <v>0</v>
      </c>
      <c r="H168" s="96">
        <f>((G100*(1-'5.Closing Stock &amp; W Capital'!$D$15))+(F100*'5.Closing Stock &amp; W Capital'!$D$15))*$C$152*H$124</f>
        <v>0</v>
      </c>
      <c r="I168" s="96">
        <f>((H100*(1-'5.Closing Stock &amp; W Capital'!$D$15))+(G100*'5.Closing Stock &amp; W Capital'!$D$15))*$C$152*I$124</f>
        <v>0</v>
      </c>
      <c r="J168" s="96">
        <f>((I100*(1-'5.Closing Stock &amp; W Capital'!$D$15))+(H100*'5.Closing Stock &amp; W Capital'!$D$15))*$C$152*J$124</f>
        <v>0</v>
      </c>
      <c r="K168" s="94"/>
      <c r="U168" s="94"/>
      <c r="V168" s="94"/>
      <c r="W168" s="94"/>
    </row>
    <row r="169" spans="1:23">
      <c r="A169" s="95">
        <f t="shared" si="53"/>
        <v>0</v>
      </c>
      <c r="B169" s="95"/>
      <c r="C169" s="257"/>
      <c r="D169" s="96">
        <f>(C101*(1-'5.Closing Stock &amp; W Capital'!$D$15))*$C169*D$124</f>
        <v>0</v>
      </c>
      <c r="E169" s="96">
        <f>((D101*(1-'5.Closing Stock &amp; W Capital'!$D$15))+(C101*'5.Closing Stock &amp; W Capital'!$D$15))*$C169*E$124</f>
        <v>0</v>
      </c>
      <c r="F169" s="96">
        <f>((E101*(1-'5.Closing Stock &amp; W Capital'!$D$15))+(D101*'5.Closing Stock &amp; W Capital'!$D$15))*$C$152*F$124</f>
        <v>0</v>
      </c>
      <c r="G169" s="96">
        <f>((F101*(1-'5.Closing Stock &amp; W Capital'!$D$15))+(E101*'5.Closing Stock &amp; W Capital'!$D$15))*$C$152*G$124</f>
        <v>0</v>
      </c>
      <c r="H169" s="96">
        <f>((G101*(1-'5.Closing Stock &amp; W Capital'!$D$15))+(F101*'5.Closing Stock &amp; W Capital'!$D$15))*$C$152*H$124</f>
        <v>0</v>
      </c>
      <c r="I169" s="96">
        <f>((H101*(1-'5.Closing Stock &amp; W Capital'!$D$15))+(G101*'5.Closing Stock &amp; W Capital'!$D$15))*$C$152*I$124</f>
        <v>0</v>
      </c>
      <c r="J169" s="96">
        <f>((I101*(1-'5.Closing Stock &amp; W Capital'!$D$15))+(H101*'5.Closing Stock &amp; W Capital'!$D$15))*$C$152*J$124</f>
        <v>0</v>
      </c>
      <c r="K169" s="94"/>
      <c r="U169" s="94"/>
      <c r="V169" s="94"/>
      <c r="W169" s="94"/>
    </row>
    <row r="170" spans="1:23">
      <c r="A170" s="95">
        <f t="shared" si="53"/>
        <v>0</v>
      </c>
      <c r="B170" s="95"/>
      <c r="C170" s="257"/>
      <c r="D170" s="96">
        <f>(C102*(1-'5.Closing Stock &amp; W Capital'!$D$15))*$C170*D$124</f>
        <v>0</v>
      </c>
      <c r="E170" s="96">
        <f>((D102*(1-'5.Closing Stock &amp; W Capital'!$D$15))+(C102*'5.Closing Stock &amp; W Capital'!$D$15))*$C170*E$124</f>
        <v>0</v>
      </c>
      <c r="F170" s="96">
        <f>((E102*(1-'5.Closing Stock &amp; W Capital'!$D$15))+(D102*'5.Closing Stock &amp; W Capital'!$D$15))*$C$152*F$124</f>
        <v>0</v>
      </c>
      <c r="G170" s="96">
        <f>((F102*(1-'5.Closing Stock &amp; W Capital'!$D$15))+(E102*'5.Closing Stock &amp; W Capital'!$D$15))*$C$152*G$124</f>
        <v>0</v>
      </c>
      <c r="H170" s="96">
        <f>((G102*(1-'5.Closing Stock &amp; W Capital'!$D$15))+(F102*'5.Closing Stock &amp; W Capital'!$D$15))*$C$152*H$124</f>
        <v>0</v>
      </c>
      <c r="I170" s="96">
        <f>((H102*(1-'5.Closing Stock &amp; W Capital'!$D$15))+(G102*'5.Closing Stock &amp; W Capital'!$D$15))*$C$152*I$124</f>
        <v>0</v>
      </c>
      <c r="J170" s="96">
        <f>((I102*(1-'5.Closing Stock &amp; W Capital'!$D$15))+(H102*'5.Closing Stock &amp; W Capital'!$D$15))*$C$152*J$124</f>
        <v>0</v>
      </c>
      <c r="K170" s="94"/>
      <c r="U170" s="94"/>
      <c r="V170" s="94"/>
      <c r="W170" s="94"/>
    </row>
    <row r="171" spans="1:23">
      <c r="A171" s="95">
        <f t="shared" si="53"/>
        <v>0</v>
      </c>
      <c r="B171" s="95"/>
      <c r="C171" s="257"/>
      <c r="D171" s="96">
        <f>(C103*(1-'5.Closing Stock &amp; W Capital'!$D$15))*$C171*D$124</f>
        <v>0</v>
      </c>
      <c r="E171" s="96">
        <f>((D103*(1-'5.Closing Stock &amp; W Capital'!$D$15))+(C103*'5.Closing Stock &amp; W Capital'!$D$15))*$C171*E$124</f>
        <v>0</v>
      </c>
      <c r="F171" s="96">
        <f>((E103*(1-'5.Closing Stock &amp; W Capital'!$D$15))+(D103*'5.Closing Stock &amp; W Capital'!$D$15))*$C$152*F$124</f>
        <v>0</v>
      </c>
      <c r="G171" s="96">
        <f>((F103*(1-'5.Closing Stock &amp; W Capital'!$D$15))+(E103*'5.Closing Stock &amp; W Capital'!$D$15))*$C$152*G$124</f>
        <v>0</v>
      </c>
      <c r="H171" s="96">
        <f>((G103*(1-'5.Closing Stock &amp; W Capital'!$D$15))+(F103*'5.Closing Stock &amp; W Capital'!$D$15))*$C$152*H$124</f>
        <v>0</v>
      </c>
      <c r="I171" s="96">
        <f>((H103*(1-'5.Closing Stock &amp; W Capital'!$D$15))+(G103*'5.Closing Stock &amp; W Capital'!$D$15))*$C$152*I$124</f>
        <v>0</v>
      </c>
      <c r="J171" s="96">
        <f>((I103*(1-'5.Closing Stock &amp; W Capital'!$D$15))+(H103*'5.Closing Stock &amp; W Capital'!$D$15))*$C$152*J$124</f>
        <v>0</v>
      </c>
      <c r="K171" s="94"/>
      <c r="U171" s="94"/>
      <c r="V171" s="94"/>
      <c r="W171" s="94"/>
    </row>
    <row r="172" spans="1:23">
      <c r="A172" s="95">
        <f t="shared" si="53"/>
        <v>0</v>
      </c>
      <c r="B172" s="95"/>
      <c r="C172" s="257"/>
      <c r="D172" s="96">
        <f>(C104*(1-'5.Closing Stock &amp; W Capital'!$D$15))*$C172*D$124</f>
        <v>0</v>
      </c>
      <c r="E172" s="96">
        <f>((D104*(1-'5.Closing Stock &amp; W Capital'!$D$15))+(C104*'5.Closing Stock &amp; W Capital'!$D$15))*$C172*E$124</f>
        <v>0</v>
      </c>
      <c r="F172" s="96">
        <f>((E104*(1-'5.Closing Stock &amp; W Capital'!$D$15))+(D104*'5.Closing Stock &amp; W Capital'!$D$15))*$C$152*F$124</f>
        <v>0</v>
      </c>
      <c r="G172" s="96">
        <f>((F104*(1-'5.Closing Stock &amp; W Capital'!$D$15))+(E104*'5.Closing Stock &amp; W Capital'!$D$15))*$C$152*G$124</f>
        <v>0</v>
      </c>
      <c r="H172" s="96">
        <f>((G104*(1-'5.Closing Stock &amp; W Capital'!$D$15))+(F104*'5.Closing Stock &amp; W Capital'!$D$15))*$C$152*H$124</f>
        <v>0</v>
      </c>
      <c r="I172" s="96">
        <f>((H104*(1-'5.Closing Stock &amp; W Capital'!$D$15))+(G104*'5.Closing Stock &amp; W Capital'!$D$15))*$C$152*I$124</f>
        <v>0</v>
      </c>
      <c r="J172" s="96">
        <f>((I104*(1-'5.Closing Stock &amp; W Capital'!$D$15))+(H104*'5.Closing Stock &amp; W Capital'!$D$15))*$C$152*J$124</f>
        <v>0</v>
      </c>
      <c r="K172" s="94"/>
      <c r="U172" s="94"/>
      <c r="V172" s="94"/>
      <c r="W172" s="94"/>
    </row>
    <row r="173" spans="1:23">
      <c r="A173" s="95">
        <f t="shared" si="53"/>
        <v>0</v>
      </c>
      <c r="B173" s="95"/>
      <c r="C173" s="257"/>
      <c r="D173" s="96">
        <f>(C105*(1-'5.Closing Stock &amp; W Capital'!$D$15))*$C173*D$124</f>
        <v>0</v>
      </c>
      <c r="E173" s="96">
        <f>((D105*(1-'5.Closing Stock &amp; W Capital'!$D$15))+(C105*'5.Closing Stock &amp; W Capital'!$D$15))*$C173*E$124</f>
        <v>0</v>
      </c>
      <c r="F173" s="96">
        <f>((E105*(1-'5.Closing Stock &amp; W Capital'!$D$15))+(D105*'5.Closing Stock &amp; W Capital'!$D$15))*$C$152*F$124</f>
        <v>0</v>
      </c>
      <c r="G173" s="96">
        <f>((F105*(1-'5.Closing Stock &amp; W Capital'!$D$15))+(E105*'5.Closing Stock &amp; W Capital'!$D$15))*$C$152*G$124</f>
        <v>0</v>
      </c>
      <c r="H173" s="96">
        <f>((G105*(1-'5.Closing Stock &amp; W Capital'!$D$15))+(F105*'5.Closing Stock &amp; W Capital'!$D$15))*$C$152*H$124</f>
        <v>0</v>
      </c>
      <c r="I173" s="96">
        <f>((H105*(1-'5.Closing Stock &amp; W Capital'!$D$15))+(G105*'5.Closing Stock &amp; W Capital'!$D$15))*$C$152*I$124</f>
        <v>0</v>
      </c>
      <c r="J173" s="96">
        <f>((I105*(1-'5.Closing Stock &amp; W Capital'!$D$15))+(H105*'5.Closing Stock &amp; W Capital'!$D$15))*$C$152*J$124</f>
        <v>0</v>
      </c>
      <c r="K173" s="94"/>
      <c r="U173" s="94"/>
      <c r="V173" s="94"/>
      <c r="W173" s="94"/>
    </row>
    <row r="174" spans="1:23">
      <c r="A174" s="95">
        <f t="shared" si="53"/>
        <v>0</v>
      </c>
      <c r="B174" s="95"/>
      <c r="C174" s="257"/>
      <c r="D174" s="96">
        <f>(C106*(1-'5.Closing Stock &amp; W Capital'!$D$15))*$C174*D$124</f>
        <v>0</v>
      </c>
      <c r="E174" s="96">
        <f>((D106*(1-'5.Closing Stock &amp; W Capital'!$D$15))+(C106*'5.Closing Stock &amp; W Capital'!$D$15))*$C174*E$124</f>
        <v>0</v>
      </c>
      <c r="F174" s="96">
        <f>((E106*(1-'5.Closing Stock &amp; W Capital'!$D$15))+(D106*'5.Closing Stock &amp; W Capital'!$D$15))*$C$152*F$124</f>
        <v>0</v>
      </c>
      <c r="G174" s="96">
        <f>((F106*(1-'5.Closing Stock &amp; W Capital'!$D$15))+(E106*'5.Closing Stock &amp; W Capital'!$D$15))*$C$152*G$124</f>
        <v>0</v>
      </c>
      <c r="H174" s="96">
        <f>((G106*(1-'5.Closing Stock &amp; W Capital'!$D$15))+(F106*'5.Closing Stock &amp; W Capital'!$D$15))*$C$152*H$124</f>
        <v>0</v>
      </c>
      <c r="I174" s="96">
        <f>((H106*(1-'5.Closing Stock &amp; W Capital'!$D$15))+(G106*'5.Closing Stock &amp; W Capital'!$D$15))*$C$152*I$124</f>
        <v>0</v>
      </c>
      <c r="J174" s="96">
        <f>((I106*(1-'5.Closing Stock &amp; W Capital'!$D$15))+(H106*'5.Closing Stock &amp; W Capital'!$D$15))*$C$152*J$124</f>
        <v>0</v>
      </c>
      <c r="K174" s="94"/>
      <c r="U174" s="94"/>
      <c r="V174" s="94"/>
      <c r="W174" s="94"/>
    </row>
    <row r="175" spans="1:23">
      <c r="A175" s="95" t="str">
        <f t="shared" si="53"/>
        <v>Pomegranate</v>
      </c>
      <c r="B175" s="95"/>
      <c r="C175" s="257"/>
      <c r="D175" s="96">
        <f>(C107*(1-'5.Closing Stock &amp; W Capital'!$D$15))*$C175*D$124</f>
        <v>0</v>
      </c>
      <c r="E175" s="96">
        <f>((D107*(1-'5.Closing Stock &amp; W Capital'!$D$15))+(C107*'5.Closing Stock &amp; W Capital'!$D$15))*$C175*E$124</f>
        <v>0</v>
      </c>
      <c r="F175" s="96">
        <f>((E107*(1-'5.Closing Stock &amp; W Capital'!$D$15))+(D107*'5.Closing Stock &amp; W Capital'!$D$15))*$C$152*F$124</f>
        <v>0</v>
      </c>
      <c r="G175" s="96">
        <f>((F107*(1-'5.Closing Stock &amp; W Capital'!$D$15))+(E107*'5.Closing Stock &amp; W Capital'!$D$15))*$C$152*G$124</f>
        <v>0</v>
      </c>
      <c r="H175" s="96">
        <f>((G107*(1-'5.Closing Stock &amp; W Capital'!$D$15))+(F107*'5.Closing Stock &amp; W Capital'!$D$15))*$C$152*H$124</f>
        <v>0</v>
      </c>
      <c r="I175" s="96">
        <f>((H107*(1-'5.Closing Stock &amp; W Capital'!$D$15))+(G107*'5.Closing Stock &amp; W Capital'!$D$15))*$C$152*I$124</f>
        <v>0</v>
      </c>
      <c r="J175" s="96">
        <f>((I107*(1-'5.Closing Stock &amp; W Capital'!$D$15))+(H107*'5.Closing Stock &amp; W Capital'!$D$15))*$C$152*J$124</f>
        <v>0</v>
      </c>
      <c r="K175" s="94"/>
      <c r="U175" s="94"/>
      <c r="V175" s="94"/>
      <c r="W175" s="94"/>
    </row>
    <row r="176" spans="1:23">
      <c r="A176" s="95" t="str">
        <f t="shared" si="53"/>
        <v>Custard Apple</v>
      </c>
      <c r="B176" s="95"/>
      <c r="C176" s="257"/>
      <c r="D176" s="96">
        <f>(C108*(1-'5.Closing Stock &amp; W Capital'!$D$15))*$C176*D$124</f>
        <v>0</v>
      </c>
      <c r="E176" s="96">
        <f>((D108*(1-'5.Closing Stock &amp; W Capital'!$D$15))+(C108*'5.Closing Stock &amp; W Capital'!$D$15))*$C176*E$124</f>
        <v>0</v>
      </c>
      <c r="F176" s="96">
        <f>((E108*(1-'5.Closing Stock &amp; W Capital'!$D$15))+(D108*'5.Closing Stock &amp; W Capital'!$D$15))*$C$152*F$124</f>
        <v>0</v>
      </c>
      <c r="G176" s="96">
        <f>((F108*(1-'5.Closing Stock &amp; W Capital'!$D$15))+(E108*'5.Closing Stock &amp; W Capital'!$D$15))*$C$152*G$124</f>
        <v>0</v>
      </c>
      <c r="H176" s="96">
        <f>((G108*(1-'5.Closing Stock &amp; W Capital'!$D$15))+(F108*'5.Closing Stock &amp; W Capital'!$D$15))*$C$152*H$124</f>
        <v>0</v>
      </c>
      <c r="I176" s="96">
        <f>((H108*(1-'5.Closing Stock &amp; W Capital'!$D$15))+(G108*'5.Closing Stock &amp; W Capital'!$D$15))*$C$152*I$124</f>
        <v>0</v>
      </c>
      <c r="J176" s="96">
        <f>((I108*(1-'5.Closing Stock &amp; W Capital'!$D$15))+(H108*'5.Closing Stock &amp; W Capital'!$D$15))*$C$152*J$124</f>
        <v>0</v>
      </c>
      <c r="K176" s="94"/>
      <c r="U176" s="94"/>
      <c r="V176" s="94"/>
      <c r="W176" s="94"/>
    </row>
    <row r="177" spans="1:23">
      <c r="A177" s="95" t="str">
        <f t="shared" si="53"/>
        <v>Guava</v>
      </c>
      <c r="B177" s="95"/>
      <c r="C177" s="257"/>
      <c r="D177" s="96">
        <f>(C109*(1-'5.Closing Stock &amp; W Capital'!$D$15))*$C177*D$124</f>
        <v>0</v>
      </c>
      <c r="E177" s="96">
        <f>((D109*(1-'5.Closing Stock &amp; W Capital'!$D$15))+(C109*'5.Closing Stock &amp; W Capital'!$D$15))*$C177*E$124</f>
        <v>0</v>
      </c>
      <c r="F177" s="96">
        <f>((E109*(1-'5.Closing Stock &amp; W Capital'!$D$15))+(D109*'5.Closing Stock &amp; W Capital'!$D$15))*$C$152*F$124</f>
        <v>0</v>
      </c>
      <c r="G177" s="96">
        <f>((F109*(1-'5.Closing Stock &amp; W Capital'!$D$15))+(E109*'5.Closing Stock &amp; W Capital'!$D$15))*$C$152*G$124</f>
        <v>0</v>
      </c>
      <c r="H177" s="96">
        <f>((G109*(1-'5.Closing Stock &amp; W Capital'!$D$15))+(F109*'5.Closing Stock &amp; W Capital'!$D$15))*$C$152*H$124</f>
        <v>0</v>
      </c>
      <c r="I177" s="96">
        <f>((H109*(1-'5.Closing Stock &amp; W Capital'!$D$15))+(G109*'5.Closing Stock &amp; W Capital'!$D$15))*$C$152*I$124</f>
        <v>0</v>
      </c>
      <c r="J177" s="96">
        <f>((I109*(1-'5.Closing Stock &amp; W Capital'!$D$15))+(H109*'5.Closing Stock &amp; W Capital'!$D$15))*$C$152*J$124</f>
        <v>0</v>
      </c>
      <c r="K177" s="94"/>
      <c r="U177" s="94"/>
      <c r="V177" s="94"/>
      <c r="W177" s="94"/>
    </row>
    <row r="178" spans="1:23">
      <c r="A178" s="95" t="str">
        <f t="shared" si="53"/>
        <v>Citrus</v>
      </c>
      <c r="B178" s="95"/>
      <c r="C178" s="257"/>
      <c r="D178" s="96">
        <f>(C110*(1-'5.Closing Stock &amp; W Capital'!$D$15))*$C178*D$124</f>
        <v>0</v>
      </c>
      <c r="E178" s="96">
        <f>((D110*(1-'5.Closing Stock &amp; W Capital'!$D$15))+(C110*'5.Closing Stock &amp; W Capital'!$D$15))*$C178*E$124</f>
        <v>0</v>
      </c>
      <c r="F178" s="96">
        <f>((E110*(1-'5.Closing Stock &amp; W Capital'!$D$15))+(D110*'5.Closing Stock &amp; W Capital'!$D$15))*$C$152*F$124</f>
        <v>0</v>
      </c>
      <c r="G178" s="96">
        <f>((F110*(1-'5.Closing Stock &amp; W Capital'!$D$15))+(E110*'5.Closing Stock &amp; W Capital'!$D$15))*$C$152*G$124</f>
        <v>0</v>
      </c>
      <c r="H178" s="96">
        <f>((G110*(1-'5.Closing Stock &amp; W Capital'!$D$15))+(F110*'5.Closing Stock &amp; W Capital'!$D$15))*$C$152*H$124</f>
        <v>0</v>
      </c>
      <c r="I178" s="96">
        <f>((H110*(1-'5.Closing Stock &amp; W Capital'!$D$15))+(G110*'5.Closing Stock &amp; W Capital'!$D$15))*$C$152*I$124</f>
        <v>0</v>
      </c>
      <c r="J178" s="96">
        <f>((I110*(1-'5.Closing Stock &amp; W Capital'!$D$15))+(H110*'5.Closing Stock &amp; W Capital'!$D$15))*$C$152*J$124</f>
        <v>0</v>
      </c>
      <c r="K178" s="94"/>
      <c r="U178" s="94"/>
      <c r="V178" s="94"/>
      <c r="W178" s="94"/>
    </row>
    <row r="179" spans="1:23">
      <c r="A179" s="95">
        <f t="shared" si="53"/>
        <v>0</v>
      </c>
      <c r="B179" s="95"/>
      <c r="C179" s="257"/>
      <c r="D179" s="96"/>
      <c r="E179" s="96"/>
      <c r="F179" s="96"/>
      <c r="G179" s="96"/>
      <c r="H179" s="96"/>
      <c r="I179" s="96"/>
      <c r="J179" s="96"/>
      <c r="K179" s="94"/>
      <c r="U179" s="94"/>
      <c r="V179" s="94"/>
      <c r="W179" s="94"/>
    </row>
    <row r="180" spans="1:23">
      <c r="A180" s="95"/>
      <c r="B180" s="95"/>
      <c r="C180" s="96"/>
      <c r="D180" s="96"/>
      <c r="E180" s="96"/>
      <c r="F180" s="96"/>
      <c r="G180" s="96"/>
      <c r="H180" s="96"/>
      <c r="I180" s="96"/>
      <c r="J180" s="96"/>
      <c r="K180" s="94"/>
      <c r="U180" s="94"/>
      <c r="V180" s="94"/>
      <c r="W180" s="94"/>
    </row>
    <row r="181" spans="1:23">
      <c r="A181" s="95" t="s">
        <v>291</v>
      </c>
      <c r="B181" s="95"/>
      <c r="C181" s="96"/>
      <c r="D181" s="96"/>
      <c r="E181" s="96"/>
      <c r="F181" s="96"/>
      <c r="G181" s="96"/>
      <c r="H181" s="96"/>
      <c r="I181" s="96"/>
      <c r="J181" s="96"/>
      <c r="K181" s="94"/>
      <c r="U181" s="94"/>
      <c r="V181" s="94"/>
      <c r="W181" s="94"/>
    </row>
    <row r="182" spans="1:23">
      <c r="A182" s="95" t="s">
        <v>416</v>
      </c>
      <c r="B182" s="95"/>
      <c r="C182" s="257">
        <f>350/50</f>
        <v>7</v>
      </c>
      <c r="D182" s="96">
        <f>(C114*(1-'5.Closing Stock &amp; W Capital'!$D$15))*$C$182*D124</f>
        <v>0</v>
      </c>
      <c r="E182" s="96">
        <f>((D114*(1-'5.Closing Stock &amp; W Capital'!$D$15))+(C114*'5.Closing Stock &amp; W Capital'!$D$15))*$C$182*E124</f>
        <v>0</v>
      </c>
      <c r="F182" s="96">
        <f>((E114*(1-'5.Closing Stock &amp; W Capital'!$D$15))+(D114*'5.Closing Stock &amp; W Capital'!$D$15))*$C$182*F124</f>
        <v>0</v>
      </c>
      <c r="G182" s="96">
        <f>((F114*(1-'5.Closing Stock &amp; W Capital'!$D$15))+(E114*'5.Closing Stock &amp; W Capital'!$D$15))*$C$182*G124</f>
        <v>0</v>
      </c>
      <c r="H182" s="96">
        <f>((G114*(1-'5.Closing Stock &amp; W Capital'!$D$15))+(F114*'5.Closing Stock &amp; W Capital'!$D$15))*$C$182*H124</f>
        <v>0</v>
      </c>
      <c r="I182" s="96">
        <f>((H114*(1-'5.Closing Stock &amp; W Capital'!$D$15))+(G114*'5.Closing Stock &amp; W Capital'!$D$15))*$C$182*I124</f>
        <v>0</v>
      </c>
      <c r="J182" s="96">
        <f>((I114*(1-'5.Closing Stock &amp; W Capital'!$D$15))+(H114*'5.Closing Stock &amp; W Capital'!$D$15))*$C$182*J124</f>
        <v>0</v>
      </c>
      <c r="K182" s="94"/>
      <c r="U182" s="94"/>
      <c r="V182" s="94"/>
      <c r="W182" s="94"/>
    </row>
    <row r="183" spans="1:23">
      <c r="A183" s="95" t="s">
        <v>181</v>
      </c>
      <c r="B183" s="95"/>
      <c r="C183" s="257">
        <v>8</v>
      </c>
      <c r="D183" s="96">
        <f>(C115*(1-'5.Closing Stock &amp; W Capital'!$D$15))*$C$183*D124</f>
        <v>0</v>
      </c>
      <c r="E183" s="96">
        <f>((D115*(1-'5.Closing Stock &amp; W Capital'!$D$15))+(C115*'5.Closing Stock &amp; W Capital'!$D$15))*$C$183*E124</f>
        <v>0</v>
      </c>
      <c r="F183" s="96">
        <f>((E115*(1-'5.Closing Stock &amp; W Capital'!$D$15))+(D115*'5.Closing Stock &amp; W Capital'!$D$15))*$C$183*F124</f>
        <v>0</v>
      </c>
      <c r="G183" s="96">
        <f>((F115*(1-'5.Closing Stock &amp; W Capital'!$D$15))+(E115*'5.Closing Stock &amp; W Capital'!$D$15))*$C$183*G124</f>
        <v>0</v>
      </c>
      <c r="H183" s="96">
        <f>((G115*(1-'5.Closing Stock &amp; W Capital'!$D$15))+(F115*'5.Closing Stock &amp; W Capital'!$D$15))*$C$183*H124</f>
        <v>0</v>
      </c>
      <c r="I183" s="96">
        <f>((H115*(1-'5.Closing Stock &amp; W Capital'!$D$15))+(G115*'5.Closing Stock &amp; W Capital'!$D$15))*$C$183*I124</f>
        <v>0</v>
      </c>
      <c r="J183" s="96">
        <f>((I115*(1-'5.Closing Stock &amp; W Capital'!$D$15))+(H115*'5.Closing Stock &amp; W Capital'!$D$15))*$C$183*J124</f>
        <v>0</v>
      </c>
      <c r="K183" s="94"/>
      <c r="U183" s="94"/>
      <c r="V183" s="94"/>
      <c r="W183" s="94"/>
    </row>
    <row r="184" spans="1:23">
      <c r="A184" s="95" t="s">
        <v>183</v>
      </c>
      <c r="B184" s="95"/>
      <c r="C184" s="257">
        <v>30</v>
      </c>
      <c r="D184" s="96">
        <f>(C116*(1-'5.Closing Stock &amp; W Capital'!$D$15))*$C$184*D124</f>
        <v>0</v>
      </c>
      <c r="E184" s="96">
        <f>((D116*(1-'5.Closing Stock &amp; W Capital'!$D$15))+(C116*'5.Closing Stock &amp; W Capital'!$D$15))*$C$184*E124</f>
        <v>0</v>
      </c>
      <c r="F184" s="96">
        <f>((E116*(1-'5.Closing Stock &amp; W Capital'!$D$15))+(D116*'5.Closing Stock &amp; W Capital'!$D$15))*$C$184*F124</f>
        <v>0</v>
      </c>
      <c r="G184" s="96">
        <f>((F116*(1-'5.Closing Stock &amp; W Capital'!$D$15))+(E116*'5.Closing Stock &amp; W Capital'!$D$15))*$C$184*G124</f>
        <v>0</v>
      </c>
      <c r="H184" s="96">
        <f>((G116*(1-'5.Closing Stock &amp; W Capital'!$D$15))+(F116*'5.Closing Stock &amp; W Capital'!$D$15))*$C$184*H124</f>
        <v>0</v>
      </c>
      <c r="I184" s="96">
        <f>((H116*(1-'5.Closing Stock &amp; W Capital'!$D$15))+(G116*'5.Closing Stock &amp; W Capital'!$D$15))*$C$184*I124</f>
        <v>0</v>
      </c>
      <c r="J184" s="96">
        <f>((I116*(1-'5.Closing Stock &amp; W Capital'!$D$15))+(H116*'5.Closing Stock &amp; W Capital'!$D$15))*$C$184*J124</f>
        <v>0</v>
      </c>
      <c r="K184" s="94"/>
      <c r="U184" s="94"/>
      <c r="V184" s="94"/>
      <c r="W184" s="94"/>
    </row>
    <row r="185" spans="1:23">
      <c r="A185" s="95"/>
      <c r="B185" s="95"/>
      <c r="C185" s="96"/>
      <c r="D185" s="96"/>
      <c r="E185" s="96"/>
      <c r="F185" s="96"/>
      <c r="G185" s="96"/>
      <c r="H185" s="96"/>
      <c r="I185" s="96"/>
      <c r="J185" s="96"/>
      <c r="K185" s="94"/>
      <c r="U185" s="94"/>
      <c r="V185" s="94"/>
      <c r="W185" s="94"/>
    </row>
    <row r="186" spans="1:23">
      <c r="A186" s="95" t="s">
        <v>182</v>
      </c>
      <c r="B186" s="95"/>
      <c r="C186" s="96"/>
      <c r="D186" s="96"/>
      <c r="E186" s="96"/>
      <c r="F186" s="96"/>
      <c r="G186" s="96"/>
      <c r="H186" s="96"/>
      <c r="I186" s="96"/>
      <c r="J186" s="96"/>
      <c r="K186" s="94"/>
      <c r="U186" s="94"/>
      <c r="V186" s="94"/>
      <c r="W186" s="94"/>
    </row>
    <row r="187" spans="1:23">
      <c r="A187" s="95" t="s">
        <v>188</v>
      </c>
      <c r="B187" s="95"/>
      <c r="C187" s="257">
        <v>3000</v>
      </c>
      <c r="D187" s="96">
        <f>(C118*(1-'5.Closing Stock &amp; W Capital'!$D$15))*$C$187*D124</f>
        <v>0</v>
      </c>
      <c r="E187" s="96">
        <f>((D118*(1-'5.Closing Stock &amp; W Capital'!$D$15))+(C118*'5.Closing Stock &amp; W Capital'!$D$15))*$C$187*E124</f>
        <v>0</v>
      </c>
      <c r="F187" s="96">
        <f>((E118*(1-'5.Closing Stock &amp; W Capital'!$D$15))+(D118*'5.Closing Stock &amp; W Capital'!$D$15))*$C$187*F124</f>
        <v>0</v>
      </c>
      <c r="G187" s="96">
        <f>((F118*(1-'5.Closing Stock &amp; W Capital'!$D$15))+(E118*'5.Closing Stock &amp; W Capital'!$D$15))*$C$187*G124</f>
        <v>0</v>
      </c>
      <c r="H187" s="96">
        <f>((G118*(1-'5.Closing Stock &amp; W Capital'!$D$15))+(F118*'5.Closing Stock &amp; W Capital'!$D$15))*$C$187*H124</f>
        <v>0</v>
      </c>
      <c r="I187" s="96">
        <f>((H118*(1-'5.Closing Stock &amp; W Capital'!$D$15))+(G118*'5.Closing Stock &amp; W Capital'!$D$15))*$C$187*I124</f>
        <v>0</v>
      </c>
      <c r="J187" s="96">
        <f>((I118*(1-'5.Closing Stock &amp; W Capital'!$D$15))+(H118*'5.Closing Stock &amp; W Capital'!$D$15))*$C$187*J124</f>
        <v>0</v>
      </c>
      <c r="K187" s="94"/>
      <c r="U187" s="207"/>
      <c r="V187" s="207"/>
      <c r="W187" s="207"/>
    </row>
    <row r="188" spans="1:23">
      <c r="A188" s="95" t="s">
        <v>189</v>
      </c>
      <c r="B188" s="95"/>
      <c r="C188" s="257">
        <v>2200</v>
      </c>
      <c r="D188" s="96">
        <f>(C119*(1-'5.Closing Stock &amp; W Capital'!$D$15))*$C$188*D124</f>
        <v>0</v>
      </c>
      <c r="E188" s="96">
        <f>((D119*(1-'5.Closing Stock &amp; W Capital'!$D$15))+(C119*'5.Closing Stock &amp; W Capital'!$D$15))*$C$188*E124</f>
        <v>0</v>
      </c>
      <c r="F188" s="96">
        <f>((E119*(1-'5.Closing Stock &amp; W Capital'!$D$15))+(D119*'5.Closing Stock &amp; W Capital'!$D$15))*$C$188*F124</f>
        <v>0</v>
      </c>
      <c r="G188" s="96">
        <f>((F119*(1-'5.Closing Stock &amp; W Capital'!$D$15))+(E119*'5.Closing Stock &amp; W Capital'!$D$15))*$C$188*G124</f>
        <v>0</v>
      </c>
      <c r="H188" s="96">
        <f>((G119*(1-'5.Closing Stock &amp; W Capital'!$D$15))+(F119*'5.Closing Stock &amp; W Capital'!$D$15))*$C$188*H124</f>
        <v>0</v>
      </c>
      <c r="I188" s="96">
        <f>((H119*(1-'5.Closing Stock &amp; W Capital'!$D$15))+(G119*'5.Closing Stock &amp; W Capital'!$D$15))*$C$188*I124</f>
        <v>0</v>
      </c>
      <c r="J188" s="96">
        <f>((I119*(1-'5.Closing Stock &amp; W Capital'!$D$15))+(H119*'5.Closing Stock &amp; W Capital'!$D$15))*$C$188*J124</f>
        <v>0</v>
      </c>
      <c r="K188" s="94"/>
      <c r="U188" s="94"/>
      <c r="V188" s="94"/>
      <c r="W188" s="94"/>
    </row>
    <row r="189" spans="1:23">
      <c r="A189" s="95"/>
      <c r="B189" s="95"/>
      <c r="C189" s="96"/>
      <c r="D189" s="96"/>
      <c r="E189" s="96"/>
      <c r="F189" s="96"/>
      <c r="G189" s="96"/>
      <c r="H189" s="96"/>
      <c r="I189" s="96"/>
      <c r="J189" s="96"/>
      <c r="K189" s="94"/>
      <c r="U189" s="94"/>
      <c r="V189" s="94"/>
      <c r="W189" s="94"/>
    </row>
    <row r="190" spans="1:23">
      <c r="A190" s="95"/>
      <c r="B190" s="95"/>
      <c r="C190" s="96"/>
      <c r="D190" s="96"/>
      <c r="E190" s="96"/>
      <c r="F190" s="96"/>
      <c r="G190" s="96"/>
      <c r="H190" s="96"/>
      <c r="I190" s="96"/>
      <c r="J190" s="96"/>
      <c r="K190" s="94"/>
      <c r="U190" s="94"/>
      <c r="V190" s="94"/>
      <c r="W190" s="94"/>
    </row>
    <row r="191" spans="1:23">
      <c r="A191" s="97" t="s">
        <v>144</v>
      </c>
      <c r="B191" s="97"/>
      <c r="C191" s="115"/>
      <c r="D191" s="115">
        <f t="shared" ref="D191:J191" si="54">SUM(D130:D188)</f>
        <v>0</v>
      </c>
      <c r="E191" s="115">
        <f t="shared" si="54"/>
        <v>0</v>
      </c>
      <c r="F191" s="115">
        <f t="shared" si="54"/>
        <v>0</v>
      </c>
      <c r="G191" s="115">
        <f t="shared" si="54"/>
        <v>0</v>
      </c>
      <c r="H191" s="115">
        <f t="shared" si="54"/>
        <v>0</v>
      </c>
      <c r="I191" s="115">
        <f t="shared" si="54"/>
        <v>0</v>
      </c>
      <c r="J191" s="115">
        <f t="shared" si="54"/>
        <v>0</v>
      </c>
      <c r="K191" s="94"/>
      <c r="U191" s="94"/>
      <c r="V191" s="94"/>
      <c r="W191" s="94"/>
    </row>
    <row r="192" spans="1:23">
      <c r="A192" s="95"/>
      <c r="B192" s="95"/>
      <c r="C192" s="96"/>
      <c r="D192" s="96"/>
      <c r="E192" s="96"/>
      <c r="F192" s="96"/>
      <c r="G192" s="96"/>
      <c r="H192" s="96"/>
      <c r="I192" s="96"/>
      <c r="J192" s="96"/>
      <c r="K192" s="94"/>
      <c r="U192" s="94"/>
      <c r="V192" s="94"/>
      <c r="W192" s="94"/>
    </row>
    <row r="193" spans="1:23">
      <c r="A193" s="95"/>
      <c r="B193" s="95"/>
      <c r="C193" s="96"/>
      <c r="D193" s="96"/>
      <c r="E193" s="96"/>
      <c r="F193" s="96"/>
      <c r="G193" s="96"/>
      <c r="H193" s="96"/>
      <c r="I193" s="96"/>
      <c r="J193" s="96"/>
      <c r="K193" s="94"/>
      <c r="U193" s="94"/>
      <c r="V193" s="94"/>
      <c r="W193" s="94"/>
    </row>
    <row r="194" spans="1:23">
      <c r="A194" s="97" t="s">
        <v>143</v>
      </c>
      <c r="B194" s="97"/>
      <c r="C194" s="96"/>
      <c r="D194" s="96"/>
      <c r="E194" s="96"/>
      <c r="F194" s="96"/>
      <c r="G194" s="96"/>
      <c r="H194" s="96"/>
      <c r="I194" s="96"/>
      <c r="J194" s="96"/>
      <c r="K194" s="94"/>
      <c r="U194" s="94"/>
      <c r="V194" s="94"/>
      <c r="W194" s="94"/>
    </row>
    <row r="195" spans="1:23">
      <c r="A195" s="97" t="str">
        <f>A128</f>
        <v>Seeds (Rate/KG)</v>
      </c>
      <c r="B195" s="97"/>
      <c r="C195" s="96"/>
      <c r="D195" s="96"/>
      <c r="E195" s="96"/>
      <c r="F195" s="96"/>
      <c r="G195" s="96"/>
      <c r="H195" s="96"/>
      <c r="I195" s="96"/>
      <c r="J195" s="96"/>
      <c r="K195" s="94"/>
      <c r="U195" s="94"/>
      <c r="V195" s="94"/>
      <c r="W195" s="94"/>
    </row>
    <row r="196" spans="1:23">
      <c r="A196" s="94" t="s">
        <v>316</v>
      </c>
      <c r="B196" s="94"/>
      <c r="C196" s="94"/>
      <c r="D196" s="94"/>
      <c r="E196" s="94"/>
      <c r="F196" s="94"/>
      <c r="G196" s="94"/>
      <c r="H196" s="94"/>
      <c r="I196" s="94"/>
      <c r="J196" s="94"/>
      <c r="K196" s="94"/>
      <c r="U196" s="94"/>
      <c r="V196" s="94"/>
      <c r="W196" s="94"/>
    </row>
    <row r="197" spans="1:23">
      <c r="A197" s="95" t="str">
        <f t="shared" ref="A197:A238" si="55">A130</f>
        <v>Soybean</v>
      </c>
      <c r="B197" s="94"/>
      <c r="C197" s="257">
        <v>85</v>
      </c>
      <c r="D197" s="96">
        <f t="shared" ref="D197:J206" si="56">C62*$C197*D$124</f>
        <v>0</v>
      </c>
      <c r="E197" s="96">
        <f t="shared" si="56"/>
        <v>0</v>
      </c>
      <c r="F197" s="96">
        <f t="shared" si="56"/>
        <v>0</v>
      </c>
      <c r="G197" s="96">
        <f t="shared" si="56"/>
        <v>0</v>
      </c>
      <c r="H197" s="96">
        <f t="shared" si="56"/>
        <v>0</v>
      </c>
      <c r="I197" s="96">
        <f t="shared" si="56"/>
        <v>0</v>
      </c>
      <c r="J197" s="96">
        <f t="shared" si="56"/>
        <v>0</v>
      </c>
      <c r="K197" s="94"/>
      <c r="U197" s="94"/>
      <c r="V197" s="94"/>
      <c r="W197" s="94"/>
    </row>
    <row r="198" spans="1:23">
      <c r="A198" s="95" t="str">
        <f t="shared" si="55"/>
        <v>Red Gram/Tur</v>
      </c>
      <c r="B198" s="95"/>
      <c r="C198" s="257">
        <v>75</v>
      </c>
      <c r="D198" s="96">
        <f t="shared" si="56"/>
        <v>0</v>
      </c>
      <c r="E198" s="96">
        <f t="shared" si="56"/>
        <v>0</v>
      </c>
      <c r="F198" s="96">
        <f t="shared" si="56"/>
        <v>0</v>
      </c>
      <c r="G198" s="96">
        <f t="shared" si="56"/>
        <v>0</v>
      </c>
      <c r="H198" s="96">
        <f t="shared" si="56"/>
        <v>0</v>
      </c>
      <c r="I198" s="96">
        <f t="shared" si="56"/>
        <v>0</v>
      </c>
      <c r="J198" s="96">
        <f t="shared" si="56"/>
        <v>0</v>
      </c>
      <c r="K198" s="94"/>
      <c r="U198" s="94"/>
      <c r="V198" s="94"/>
      <c r="W198" s="94"/>
    </row>
    <row r="199" spans="1:23">
      <c r="A199" s="95" t="str">
        <f t="shared" si="55"/>
        <v>Paddy/Rice</v>
      </c>
      <c r="B199" s="95"/>
      <c r="C199" s="257">
        <v>57</v>
      </c>
      <c r="D199" s="96">
        <f t="shared" si="56"/>
        <v>0</v>
      </c>
      <c r="E199" s="96">
        <f t="shared" si="56"/>
        <v>0</v>
      </c>
      <c r="F199" s="96">
        <f t="shared" si="56"/>
        <v>0</v>
      </c>
      <c r="G199" s="96">
        <f t="shared" si="56"/>
        <v>0</v>
      </c>
      <c r="H199" s="96">
        <f t="shared" si="56"/>
        <v>0</v>
      </c>
      <c r="I199" s="96">
        <f t="shared" si="56"/>
        <v>0</v>
      </c>
      <c r="J199" s="96">
        <f t="shared" si="56"/>
        <v>0</v>
      </c>
      <c r="K199" s="94"/>
      <c r="U199" s="94"/>
      <c r="V199" s="94"/>
      <c r="W199" s="94"/>
    </row>
    <row r="200" spans="1:23">
      <c r="A200" s="95" t="str">
        <f t="shared" si="55"/>
        <v>Green Gram/ Moong</v>
      </c>
      <c r="B200" s="95"/>
      <c r="C200" s="257">
        <v>80</v>
      </c>
      <c r="D200" s="96">
        <f t="shared" si="56"/>
        <v>0</v>
      </c>
      <c r="E200" s="96">
        <f t="shared" si="56"/>
        <v>0</v>
      </c>
      <c r="F200" s="96">
        <f t="shared" si="56"/>
        <v>0</v>
      </c>
      <c r="G200" s="96">
        <f t="shared" si="56"/>
        <v>0</v>
      </c>
      <c r="H200" s="96">
        <f t="shared" si="56"/>
        <v>0</v>
      </c>
      <c r="I200" s="96">
        <f t="shared" si="56"/>
        <v>0</v>
      </c>
      <c r="J200" s="96">
        <f t="shared" si="56"/>
        <v>0</v>
      </c>
      <c r="K200" s="94"/>
      <c r="L200" s="94"/>
      <c r="M200" s="94"/>
      <c r="N200" s="94"/>
      <c r="O200" s="94"/>
      <c r="P200" s="94"/>
      <c r="Q200" s="94"/>
      <c r="R200" s="94"/>
      <c r="S200" s="94"/>
      <c r="T200" s="94"/>
      <c r="U200" s="94"/>
      <c r="V200" s="94"/>
      <c r="W200" s="94"/>
    </row>
    <row r="201" spans="1:23">
      <c r="A201" s="95" t="str">
        <f t="shared" si="55"/>
        <v>Maize</v>
      </c>
      <c r="B201" s="95"/>
      <c r="C201" s="257">
        <v>25</v>
      </c>
      <c r="D201" s="96">
        <f t="shared" si="56"/>
        <v>0</v>
      </c>
      <c r="E201" s="96">
        <f t="shared" si="56"/>
        <v>0</v>
      </c>
      <c r="F201" s="96">
        <f t="shared" si="56"/>
        <v>0</v>
      </c>
      <c r="G201" s="96">
        <f t="shared" si="56"/>
        <v>0</v>
      </c>
      <c r="H201" s="96">
        <f t="shared" si="56"/>
        <v>0</v>
      </c>
      <c r="I201" s="96">
        <f t="shared" si="56"/>
        <v>0</v>
      </c>
      <c r="J201" s="96">
        <f t="shared" si="56"/>
        <v>0</v>
      </c>
      <c r="K201" s="94"/>
      <c r="L201" s="94"/>
      <c r="M201" s="94"/>
      <c r="N201" s="94"/>
      <c r="O201" s="94"/>
      <c r="P201" s="94"/>
      <c r="Q201" s="94"/>
      <c r="R201" s="94"/>
      <c r="S201" s="94"/>
      <c r="T201" s="94"/>
      <c r="U201" s="94"/>
      <c r="V201" s="94"/>
      <c r="W201" s="94"/>
    </row>
    <row r="202" spans="1:23">
      <c r="A202" s="95" t="str">
        <f t="shared" si="55"/>
        <v>Black Gram/Udid</v>
      </c>
      <c r="B202" s="95"/>
      <c r="C202" s="257">
        <v>70</v>
      </c>
      <c r="D202" s="96">
        <f t="shared" si="56"/>
        <v>0</v>
      </c>
      <c r="E202" s="96">
        <f t="shared" si="56"/>
        <v>0</v>
      </c>
      <c r="F202" s="96">
        <f t="shared" si="56"/>
        <v>0</v>
      </c>
      <c r="G202" s="96">
        <f t="shared" si="56"/>
        <v>0</v>
      </c>
      <c r="H202" s="96">
        <f t="shared" si="56"/>
        <v>0</v>
      </c>
      <c r="I202" s="96">
        <f t="shared" si="56"/>
        <v>0</v>
      </c>
      <c r="J202" s="96">
        <f t="shared" si="56"/>
        <v>0</v>
      </c>
      <c r="K202" s="94"/>
      <c r="L202" s="94"/>
      <c r="M202" s="94"/>
      <c r="N202" s="94"/>
      <c r="O202" s="94"/>
      <c r="P202" s="94"/>
      <c r="Q202" s="94"/>
      <c r="R202" s="94"/>
      <c r="S202" s="94"/>
      <c r="T202" s="94"/>
      <c r="U202" s="94"/>
      <c r="V202" s="94"/>
      <c r="W202" s="94"/>
    </row>
    <row r="203" spans="1:23">
      <c r="A203" s="95" t="str">
        <f t="shared" si="55"/>
        <v>Bajra</v>
      </c>
      <c r="B203" s="95"/>
      <c r="C203" s="257">
        <v>25</v>
      </c>
      <c r="D203" s="96">
        <f t="shared" si="56"/>
        <v>0</v>
      </c>
      <c r="E203" s="96">
        <f t="shared" si="56"/>
        <v>0</v>
      </c>
      <c r="F203" s="96">
        <f t="shared" si="56"/>
        <v>0</v>
      </c>
      <c r="G203" s="96">
        <f t="shared" si="56"/>
        <v>0</v>
      </c>
      <c r="H203" s="96">
        <f t="shared" si="56"/>
        <v>0</v>
      </c>
      <c r="I203" s="96">
        <f t="shared" si="56"/>
        <v>0</v>
      </c>
      <c r="J203" s="96">
        <f t="shared" si="56"/>
        <v>0</v>
      </c>
      <c r="K203" s="94"/>
      <c r="L203" s="94"/>
      <c r="M203" s="94"/>
      <c r="N203" s="94"/>
      <c r="O203" s="94"/>
      <c r="P203" s="94"/>
      <c r="Q203" s="94"/>
      <c r="R203" s="94"/>
      <c r="S203" s="94"/>
      <c r="T203" s="94"/>
      <c r="U203" s="94"/>
      <c r="V203" s="94"/>
      <c r="W203" s="94"/>
    </row>
    <row r="204" spans="1:23">
      <c r="A204" s="95" t="str">
        <f t="shared" si="55"/>
        <v>Jawar</v>
      </c>
      <c r="B204" s="95"/>
      <c r="C204" s="257">
        <v>25</v>
      </c>
      <c r="D204" s="96">
        <f t="shared" si="56"/>
        <v>0</v>
      </c>
      <c r="E204" s="96">
        <f t="shared" si="56"/>
        <v>0</v>
      </c>
      <c r="F204" s="96">
        <f t="shared" si="56"/>
        <v>0</v>
      </c>
      <c r="G204" s="96">
        <f t="shared" si="56"/>
        <v>0</v>
      </c>
      <c r="H204" s="96">
        <f t="shared" si="56"/>
        <v>0</v>
      </c>
      <c r="I204" s="96">
        <f t="shared" si="56"/>
        <v>0</v>
      </c>
      <c r="J204" s="96">
        <f t="shared" si="56"/>
        <v>0</v>
      </c>
      <c r="K204" s="94"/>
      <c r="L204" s="94"/>
      <c r="M204" s="94"/>
      <c r="N204" s="94"/>
      <c r="O204" s="94"/>
      <c r="P204" s="94"/>
      <c r="Q204" s="94"/>
      <c r="R204" s="94"/>
      <c r="S204" s="94"/>
      <c r="T204" s="94"/>
      <c r="U204" s="94"/>
      <c r="V204" s="94"/>
      <c r="W204" s="94"/>
    </row>
    <row r="205" spans="1:23">
      <c r="A205" s="97" t="str">
        <f t="shared" si="55"/>
        <v>Rabi Crop</v>
      </c>
      <c r="B205" s="95"/>
      <c r="C205" s="257"/>
      <c r="D205" s="96">
        <f t="shared" si="56"/>
        <v>0</v>
      </c>
      <c r="E205" s="96">
        <f t="shared" si="56"/>
        <v>0</v>
      </c>
      <c r="F205" s="96">
        <f t="shared" si="56"/>
        <v>0</v>
      </c>
      <c r="G205" s="96">
        <f t="shared" si="56"/>
        <v>0</v>
      </c>
      <c r="H205" s="96">
        <f t="shared" si="56"/>
        <v>0</v>
      </c>
      <c r="I205" s="96">
        <f t="shared" si="56"/>
        <v>0</v>
      </c>
      <c r="J205" s="96">
        <f t="shared" si="56"/>
        <v>0</v>
      </c>
      <c r="K205" s="94"/>
      <c r="L205" s="94"/>
      <c r="M205" s="94"/>
      <c r="N205" s="94"/>
      <c r="O205" s="94"/>
      <c r="P205" s="94"/>
      <c r="Q205" s="94"/>
      <c r="R205" s="94"/>
      <c r="S205" s="94"/>
      <c r="T205" s="94"/>
      <c r="U205" s="94"/>
      <c r="V205" s="94"/>
      <c r="W205" s="94"/>
    </row>
    <row r="206" spans="1:23">
      <c r="A206" s="95" t="str">
        <f t="shared" si="55"/>
        <v>Wheat</v>
      </c>
      <c r="B206" s="95"/>
      <c r="C206" s="257">
        <v>35</v>
      </c>
      <c r="D206" s="96">
        <f t="shared" si="56"/>
        <v>0</v>
      </c>
      <c r="E206" s="96">
        <f t="shared" si="56"/>
        <v>0</v>
      </c>
      <c r="F206" s="96">
        <f t="shared" si="56"/>
        <v>0</v>
      </c>
      <c r="G206" s="96">
        <f t="shared" si="56"/>
        <v>0</v>
      </c>
      <c r="H206" s="96">
        <f t="shared" si="56"/>
        <v>0</v>
      </c>
      <c r="I206" s="96">
        <f t="shared" si="56"/>
        <v>0</v>
      </c>
      <c r="J206" s="96">
        <f t="shared" si="56"/>
        <v>0</v>
      </c>
      <c r="K206" s="94"/>
      <c r="L206" s="94"/>
      <c r="M206" s="94"/>
      <c r="N206" s="94"/>
      <c r="O206" s="94"/>
      <c r="P206" s="94"/>
      <c r="Q206" s="94"/>
      <c r="R206" s="94"/>
      <c r="S206" s="94"/>
      <c r="T206" s="94"/>
      <c r="U206" s="94"/>
      <c r="V206" s="94"/>
      <c r="W206" s="94"/>
    </row>
    <row r="207" spans="1:23">
      <c r="A207" s="95" t="str">
        <f t="shared" si="55"/>
        <v>Bengal Gram/Channa</v>
      </c>
      <c r="B207" s="95"/>
      <c r="C207" s="257">
        <v>70</v>
      </c>
      <c r="D207" s="96">
        <f t="shared" ref="D207:J216" si="57">C72*$C207*D$124</f>
        <v>0</v>
      </c>
      <c r="E207" s="96">
        <f t="shared" si="57"/>
        <v>0</v>
      </c>
      <c r="F207" s="96">
        <f t="shared" si="57"/>
        <v>0</v>
      </c>
      <c r="G207" s="96">
        <f t="shared" si="57"/>
        <v>0</v>
      </c>
      <c r="H207" s="96">
        <f t="shared" si="57"/>
        <v>0</v>
      </c>
      <c r="I207" s="96">
        <f t="shared" si="57"/>
        <v>0</v>
      </c>
      <c r="J207" s="96">
        <f t="shared" si="57"/>
        <v>0</v>
      </c>
      <c r="K207" s="94"/>
      <c r="L207" s="94"/>
      <c r="M207" s="94"/>
      <c r="N207" s="94"/>
      <c r="O207" s="94"/>
      <c r="P207" s="94"/>
      <c r="Q207" s="94"/>
      <c r="R207" s="94"/>
      <c r="S207" s="94"/>
      <c r="T207" s="94"/>
      <c r="U207" s="94"/>
      <c r="V207" s="94"/>
      <c r="W207" s="94"/>
    </row>
    <row r="208" spans="1:23">
      <c r="A208" s="95" t="str">
        <f t="shared" si="55"/>
        <v>Jawar</v>
      </c>
      <c r="B208" s="95"/>
      <c r="C208" s="257">
        <v>25</v>
      </c>
      <c r="D208" s="96">
        <f t="shared" si="57"/>
        <v>0</v>
      </c>
      <c r="E208" s="96">
        <f t="shared" si="57"/>
        <v>0</v>
      </c>
      <c r="F208" s="96">
        <f t="shared" si="57"/>
        <v>0</v>
      </c>
      <c r="G208" s="96">
        <f t="shared" si="57"/>
        <v>0</v>
      </c>
      <c r="H208" s="96">
        <f t="shared" si="57"/>
        <v>0</v>
      </c>
      <c r="I208" s="96">
        <f t="shared" si="57"/>
        <v>0</v>
      </c>
      <c r="J208" s="96">
        <f t="shared" si="57"/>
        <v>0</v>
      </c>
      <c r="K208" s="94"/>
      <c r="L208" s="94"/>
      <c r="M208" s="94"/>
      <c r="N208" s="94"/>
      <c r="O208" s="94"/>
      <c r="P208" s="94"/>
      <c r="Q208" s="94"/>
      <c r="R208" s="94"/>
      <c r="S208" s="94"/>
      <c r="T208" s="94"/>
      <c r="U208" s="94"/>
      <c r="V208" s="94"/>
      <c r="W208" s="94"/>
    </row>
    <row r="209" spans="1:23">
      <c r="A209" s="95" t="str">
        <f t="shared" si="55"/>
        <v>Maize</v>
      </c>
      <c r="B209" s="95"/>
      <c r="C209" s="257">
        <v>25</v>
      </c>
      <c r="D209" s="96">
        <f t="shared" si="57"/>
        <v>0</v>
      </c>
      <c r="E209" s="96">
        <f t="shared" si="57"/>
        <v>0</v>
      </c>
      <c r="F209" s="96">
        <f t="shared" si="57"/>
        <v>0</v>
      </c>
      <c r="G209" s="96">
        <f t="shared" si="57"/>
        <v>0</v>
      </c>
      <c r="H209" s="96">
        <f t="shared" si="57"/>
        <v>0</v>
      </c>
      <c r="I209" s="96">
        <f t="shared" si="57"/>
        <v>0</v>
      </c>
      <c r="J209" s="96">
        <f t="shared" si="57"/>
        <v>0</v>
      </c>
      <c r="K209" s="94"/>
      <c r="L209" s="94"/>
      <c r="M209" s="94"/>
      <c r="N209" s="94"/>
      <c r="O209" s="94"/>
      <c r="P209" s="94"/>
      <c r="Q209" s="94"/>
      <c r="R209" s="94"/>
      <c r="S209" s="94"/>
      <c r="T209" s="94"/>
      <c r="U209" s="94"/>
      <c r="V209" s="94"/>
      <c r="W209" s="94"/>
    </row>
    <row r="210" spans="1:23">
      <c r="A210" s="95" t="str">
        <f t="shared" si="55"/>
        <v>Safflower</v>
      </c>
      <c r="B210" s="95"/>
      <c r="C210" s="257">
        <v>25</v>
      </c>
      <c r="D210" s="96">
        <f t="shared" si="57"/>
        <v>0</v>
      </c>
      <c r="E210" s="96">
        <f t="shared" si="57"/>
        <v>0</v>
      </c>
      <c r="F210" s="96">
        <f t="shared" si="57"/>
        <v>0</v>
      </c>
      <c r="G210" s="96">
        <f t="shared" si="57"/>
        <v>0</v>
      </c>
      <c r="H210" s="96">
        <f t="shared" si="57"/>
        <v>0</v>
      </c>
      <c r="I210" s="96">
        <f t="shared" si="57"/>
        <v>0</v>
      </c>
      <c r="J210" s="96">
        <f t="shared" si="57"/>
        <v>0</v>
      </c>
      <c r="K210" s="94"/>
      <c r="L210" s="94"/>
      <c r="M210" s="94"/>
      <c r="N210" s="94"/>
      <c r="O210" s="94"/>
      <c r="P210" s="94"/>
      <c r="Q210" s="94"/>
      <c r="R210" s="94"/>
      <c r="S210" s="94"/>
      <c r="T210" s="94"/>
      <c r="U210" s="94"/>
      <c r="V210" s="94"/>
      <c r="W210" s="94"/>
    </row>
    <row r="211" spans="1:23">
      <c r="A211" s="95">
        <f t="shared" si="55"/>
        <v>0</v>
      </c>
      <c r="B211" s="95"/>
      <c r="C211" s="257"/>
      <c r="D211" s="96">
        <f t="shared" si="57"/>
        <v>0</v>
      </c>
      <c r="E211" s="96">
        <f t="shared" si="57"/>
        <v>0</v>
      </c>
      <c r="F211" s="96">
        <f t="shared" si="57"/>
        <v>0</v>
      </c>
      <c r="G211" s="96">
        <f t="shared" si="57"/>
        <v>0</v>
      </c>
      <c r="H211" s="96">
        <f t="shared" si="57"/>
        <v>0</v>
      </c>
      <c r="I211" s="96">
        <f t="shared" si="57"/>
        <v>0</v>
      </c>
      <c r="J211" s="96">
        <f t="shared" si="57"/>
        <v>0</v>
      </c>
      <c r="K211" s="94"/>
      <c r="L211" s="94"/>
      <c r="M211" s="94"/>
      <c r="N211" s="94"/>
      <c r="O211" s="94"/>
      <c r="P211" s="94"/>
      <c r="Q211" s="94"/>
      <c r="R211" s="94"/>
      <c r="S211" s="94"/>
      <c r="T211" s="94"/>
      <c r="U211" s="94"/>
      <c r="V211" s="94"/>
      <c r="W211" s="94"/>
    </row>
    <row r="212" spans="1:23">
      <c r="A212" s="95">
        <f t="shared" si="55"/>
        <v>0</v>
      </c>
      <c r="B212" s="95"/>
      <c r="C212" s="257"/>
      <c r="D212" s="96">
        <f t="shared" si="57"/>
        <v>0</v>
      </c>
      <c r="E212" s="96">
        <f t="shared" si="57"/>
        <v>0</v>
      </c>
      <c r="F212" s="96">
        <f t="shared" si="57"/>
        <v>0</v>
      </c>
      <c r="G212" s="96">
        <f t="shared" si="57"/>
        <v>0</v>
      </c>
      <c r="H212" s="96">
        <f t="shared" si="57"/>
        <v>0</v>
      </c>
      <c r="I212" s="96">
        <f t="shared" si="57"/>
        <v>0</v>
      </c>
      <c r="J212" s="96">
        <f t="shared" si="57"/>
        <v>0</v>
      </c>
      <c r="K212" s="94"/>
      <c r="L212" s="94"/>
      <c r="M212" s="94"/>
      <c r="N212" s="94"/>
      <c r="O212" s="94"/>
      <c r="P212" s="94"/>
      <c r="Q212" s="94"/>
      <c r="R212" s="94"/>
      <c r="S212" s="94"/>
      <c r="T212" s="94"/>
      <c r="U212" s="94"/>
      <c r="V212" s="94"/>
      <c r="W212" s="94"/>
    </row>
    <row r="213" spans="1:23">
      <c r="A213" s="95">
        <f t="shared" si="55"/>
        <v>0</v>
      </c>
      <c r="B213" s="95"/>
      <c r="C213" s="257"/>
      <c r="D213" s="96">
        <f t="shared" si="57"/>
        <v>0</v>
      </c>
      <c r="E213" s="96">
        <f t="shared" si="57"/>
        <v>0</v>
      </c>
      <c r="F213" s="96">
        <f t="shared" si="57"/>
        <v>0</v>
      </c>
      <c r="G213" s="96">
        <f t="shared" si="57"/>
        <v>0</v>
      </c>
      <c r="H213" s="96">
        <f t="shared" si="57"/>
        <v>0</v>
      </c>
      <c r="I213" s="96">
        <f t="shared" si="57"/>
        <v>0</v>
      </c>
      <c r="J213" s="96">
        <f t="shared" si="57"/>
        <v>0</v>
      </c>
      <c r="K213" s="94"/>
      <c r="L213" s="94"/>
      <c r="M213" s="94"/>
      <c r="N213" s="94"/>
      <c r="O213" s="94"/>
      <c r="P213" s="94"/>
      <c r="Q213" s="94"/>
      <c r="R213" s="94"/>
      <c r="S213" s="94"/>
      <c r="T213" s="94"/>
      <c r="U213" s="94"/>
      <c r="V213" s="94"/>
      <c r="W213" s="94"/>
    </row>
    <row r="214" spans="1:23">
      <c r="A214" s="95" t="str">
        <f t="shared" si="55"/>
        <v>Summer</v>
      </c>
      <c r="B214" s="95"/>
      <c r="C214" s="257"/>
      <c r="D214" s="96">
        <f t="shared" si="57"/>
        <v>0</v>
      </c>
      <c r="E214" s="96">
        <f t="shared" si="57"/>
        <v>0</v>
      </c>
      <c r="F214" s="96">
        <f t="shared" si="57"/>
        <v>0</v>
      </c>
      <c r="G214" s="96">
        <f t="shared" si="57"/>
        <v>0</v>
      </c>
      <c r="H214" s="96">
        <f t="shared" si="57"/>
        <v>0</v>
      </c>
      <c r="I214" s="96">
        <f t="shared" si="57"/>
        <v>0</v>
      </c>
      <c r="J214" s="96">
        <f t="shared" si="57"/>
        <v>0</v>
      </c>
      <c r="K214" s="94"/>
      <c r="L214" s="94"/>
      <c r="M214" s="94"/>
      <c r="N214" s="94"/>
      <c r="O214" s="94"/>
      <c r="P214" s="94"/>
      <c r="Q214" s="94"/>
      <c r="R214" s="94"/>
      <c r="S214" s="94"/>
      <c r="T214" s="94"/>
      <c r="U214" s="94"/>
      <c r="V214" s="94"/>
      <c r="W214" s="94"/>
    </row>
    <row r="215" spans="1:23">
      <c r="A215" s="95" t="str">
        <f t="shared" si="55"/>
        <v>Groundnut</v>
      </c>
      <c r="B215" s="95"/>
      <c r="C215" s="257"/>
      <c r="D215" s="96">
        <f t="shared" si="57"/>
        <v>0</v>
      </c>
      <c r="E215" s="96">
        <f t="shared" si="57"/>
        <v>0</v>
      </c>
      <c r="F215" s="96">
        <f t="shared" si="57"/>
        <v>0</v>
      </c>
      <c r="G215" s="96">
        <f t="shared" si="57"/>
        <v>0</v>
      </c>
      <c r="H215" s="96">
        <f t="shared" si="57"/>
        <v>0</v>
      </c>
      <c r="I215" s="96">
        <f t="shared" si="57"/>
        <v>0</v>
      </c>
      <c r="J215" s="96">
        <f t="shared" si="57"/>
        <v>0</v>
      </c>
      <c r="K215" s="94"/>
      <c r="L215" s="94"/>
      <c r="M215" s="94"/>
      <c r="N215" s="94"/>
      <c r="O215" s="94"/>
      <c r="P215" s="94"/>
      <c r="Q215" s="94"/>
      <c r="R215" s="94"/>
      <c r="S215" s="94"/>
      <c r="T215" s="94"/>
      <c r="U215" s="94"/>
      <c r="V215" s="94"/>
      <c r="W215" s="94"/>
    </row>
    <row r="216" spans="1:23">
      <c r="A216" s="95">
        <f t="shared" si="55"/>
        <v>0</v>
      </c>
      <c r="B216" s="95"/>
      <c r="C216" s="257"/>
      <c r="D216" s="96">
        <f t="shared" si="57"/>
        <v>0</v>
      </c>
      <c r="E216" s="96">
        <f t="shared" si="57"/>
        <v>0</v>
      </c>
      <c r="F216" s="96">
        <f t="shared" si="57"/>
        <v>0</v>
      </c>
      <c r="G216" s="96">
        <f t="shared" si="57"/>
        <v>0</v>
      </c>
      <c r="H216" s="96">
        <f t="shared" si="57"/>
        <v>0</v>
      </c>
      <c r="I216" s="96">
        <f t="shared" si="57"/>
        <v>0</v>
      </c>
      <c r="J216" s="96">
        <f t="shared" si="57"/>
        <v>0</v>
      </c>
      <c r="K216" s="94"/>
      <c r="L216" s="94"/>
      <c r="M216" s="94"/>
      <c r="N216" s="94"/>
      <c r="O216" s="94"/>
      <c r="P216" s="94"/>
      <c r="Q216" s="94"/>
      <c r="R216" s="94"/>
      <c r="S216" s="94"/>
      <c r="T216" s="94"/>
      <c r="U216" s="94"/>
      <c r="V216" s="94"/>
      <c r="W216" s="94"/>
    </row>
    <row r="217" spans="1:23">
      <c r="A217" s="95">
        <f t="shared" si="55"/>
        <v>0</v>
      </c>
      <c r="B217" s="95"/>
      <c r="C217" s="257"/>
      <c r="D217" s="96">
        <f t="shared" ref="D217:J219" si="58">C82*$C217*D$124</f>
        <v>0</v>
      </c>
      <c r="E217" s="96">
        <f t="shared" si="58"/>
        <v>0</v>
      </c>
      <c r="F217" s="96">
        <f t="shared" si="58"/>
        <v>0</v>
      </c>
      <c r="G217" s="96">
        <f t="shared" si="58"/>
        <v>0</v>
      </c>
      <c r="H217" s="96">
        <f t="shared" si="58"/>
        <v>0</v>
      </c>
      <c r="I217" s="96">
        <f t="shared" si="58"/>
        <v>0</v>
      </c>
      <c r="J217" s="96">
        <f t="shared" si="58"/>
        <v>0</v>
      </c>
      <c r="K217" s="94"/>
      <c r="L217" s="94"/>
      <c r="M217" s="94"/>
      <c r="N217" s="94"/>
      <c r="O217" s="94"/>
      <c r="P217" s="94"/>
      <c r="Q217" s="94"/>
      <c r="R217" s="94"/>
      <c r="S217" s="94"/>
      <c r="T217" s="94"/>
      <c r="U217" s="94"/>
      <c r="V217" s="94"/>
      <c r="W217" s="94"/>
    </row>
    <row r="218" spans="1:23">
      <c r="A218" s="95">
        <f t="shared" si="55"/>
        <v>0</v>
      </c>
      <c r="B218" s="95"/>
      <c r="C218" s="257"/>
      <c r="D218" s="96">
        <f t="shared" si="58"/>
        <v>0</v>
      </c>
      <c r="E218" s="96">
        <f t="shared" si="58"/>
        <v>0</v>
      </c>
      <c r="F218" s="96">
        <f t="shared" si="58"/>
        <v>0</v>
      </c>
      <c r="G218" s="96">
        <f t="shared" si="58"/>
        <v>0</v>
      </c>
      <c r="H218" s="96">
        <f t="shared" si="58"/>
        <v>0</v>
      </c>
      <c r="I218" s="96">
        <f t="shared" si="58"/>
        <v>0</v>
      </c>
      <c r="J218" s="96">
        <f t="shared" si="58"/>
        <v>0</v>
      </c>
      <c r="K218" s="94"/>
      <c r="L218" s="94"/>
      <c r="M218" s="94"/>
      <c r="N218" s="94"/>
      <c r="O218" s="94"/>
      <c r="P218" s="94"/>
      <c r="Q218" s="94"/>
      <c r="R218" s="94"/>
      <c r="S218" s="94"/>
      <c r="T218" s="94"/>
      <c r="U218" s="94"/>
      <c r="V218" s="94"/>
      <c r="W218" s="94"/>
    </row>
    <row r="219" spans="1:23">
      <c r="A219" s="95">
        <f t="shared" si="55"/>
        <v>0</v>
      </c>
      <c r="B219" s="95"/>
      <c r="C219" s="257"/>
      <c r="D219" s="96">
        <f t="shared" si="58"/>
        <v>0</v>
      </c>
      <c r="E219" s="96">
        <f t="shared" si="58"/>
        <v>0</v>
      </c>
      <c r="F219" s="96">
        <f t="shared" si="58"/>
        <v>0</v>
      </c>
      <c r="G219" s="96">
        <f t="shared" si="58"/>
        <v>0</v>
      </c>
      <c r="H219" s="96">
        <f t="shared" si="58"/>
        <v>0</v>
      </c>
      <c r="I219" s="96">
        <f t="shared" si="58"/>
        <v>0</v>
      </c>
      <c r="J219" s="96">
        <f t="shared" si="58"/>
        <v>0</v>
      </c>
      <c r="K219" s="94"/>
      <c r="L219" s="94"/>
      <c r="M219" s="94"/>
      <c r="N219" s="94"/>
      <c r="O219" s="94"/>
      <c r="P219" s="94"/>
      <c r="Q219" s="94"/>
      <c r="R219" s="94"/>
      <c r="S219" s="94"/>
      <c r="T219" s="94"/>
      <c r="U219" s="94"/>
      <c r="V219" s="94"/>
      <c r="W219" s="94"/>
    </row>
    <row r="220" spans="1:23">
      <c r="A220" s="95" t="str">
        <f t="shared" si="55"/>
        <v>Fruit  &amp; Vegetables Crop Production Details</v>
      </c>
      <c r="B220" s="95"/>
      <c r="C220" s="96"/>
      <c r="D220" s="96"/>
      <c r="E220" s="96"/>
      <c r="F220" s="96"/>
      <c r="G220" s="96"/>
      <c r="H220" s="96"/>
      <c r="I220" s="96"/>
      <c r="J220" s="96"/>
      <c r="K220" s="94"/>
      <c r="L220" s="94"/>
      <c r="M220" s="94"/>
      <c r="N220" s="94"/>
      <c r="O220" s="94"/>
      <c r="P220" s="94"/>
      <c r="Q220" s="94"/>
      <c r="R220" s="94"/>
      <c r="S220" s="94"/>
      <c r="T220" s="94"/>
      <c r="U220" s="94"/>
      <c r="V220" s="94"/>
      <c r="W220" s="94"/>
    </row>
    <row r="221" spans="1:23">
      <c r="A221" s="95" t="str">
        <f t="shared" si="55"/>
        <v>Onion</v>
      </c>
      <c r="B221" s="95"/>
      <c r="C221" s="257"/>
      <c r="D221" s="96">
        <f t="shared" ref="D221:J230" si="59">C86*$C221*D$124</f>
        <v>0</v>
      </c>
      <c r="E221" s="96">
        <f t="shared" si="59"/>
        <v>0</v>
      </c>
      <c r="F221" s="96">
        <f t="shared" si="59"/>
        <v>0</v>
      </c>
      <c r="G221" s="96">
        <f t="shared" si="59"/>
        <v>0</v>
      </c>
      <c r="H221" s="96">
        <f t="shared" si="59"/>
        <v>0</v>
      </c>
      <c r="I221" s="96">
        <f t="shared" si="59"/>
        <v>0</v>
      </c>
      <c r="J221" s="96">
        <f t="shared" si="59"/>
        <v>0</v>
      </c>
      <c r="K221" s="94"/>
      <c r="L221" s="94"/>
      <c r="M221" s="94"/>
      <c r="N221" s="94"/>
      <c r="O221" s="94"/>
      <c r="P221" s="94"/>
      <c r="Q221" s="94"/>
      <c r="R221" s="94"/>
      <c r="S221" s="94"/>
      <c r="T221" s="94"/>
      <c r="U221" s="94"/>
      <c r="V221" s="94"/>
      <c r="W221" s="94"/>
    </row>
    <row r="222" spans="1:23">
      <c r="A222" s="95" t="str">
        <f t="shared" si="55"/>
        <v>Tomato</v>
      </c>
      <c r="B222" s="95"/>
      <c r="C222" s="257"/>
      <c r="D222" s="96">
        <f t="shared" si="59"/>
        <v>0</v>
      </c>
      <c r="E222" s="96">
        <f t="shared" si="59"/>
        <v>0</v>
      </c>
      <c r="F222" s="96">
        <f t="shared" si="59"/>
        <v>0</v>
      </c>
      <c r="G222" s="96">
        <f t="shared" si="59"/>
        <v>0</v>
      </c>
      <c r="H222" s="96">
        <f t="shared" si="59"/>
        <v>0</v>
      </c>
      <c r="I222" s="96">
        <f t="shared" si="59"/>
        <v>0</v>
      </c>
      <c r="J222" s="96">
        <f t="shared" si="59"/>
        <v>0</v>
      </c>
      <c r="K222" s="94"/>
      <c r="L222" s="94"/>
      <c r="M222" s="94"/>
      <c r="N222" s="94"/>
      <c r="O222" s="94"/>
      <c r="P222" s="94"/>
      <c r="Q222" s="94"/>
      <c r="R222" s="94"/>
      <c r="S222" s="94"/>
      <c r="T222" s="94"/>
      <c r="U222" s="94"/>
      <c r="V222" s="94"/>
      <c r="W222" s="94"/>
    </row>
    <row r="223" spans="1:23">
      <c r="A223" s="95" t="str">
        <f t="shared" si="55"/>
        <v>Okra</v>
      </c>
      <c r="B223" s="95"/>
      <c r="C223" s="257"/>
      <c r="D223" s="96">
        <f t="shared" si="59"/>
        <v>0</v>
      </c>
      <c r="E223" s="96">
        <f t="shared" si="59"/>
        <v>0</v>
      </c>
      <c r="F223" s="96">
        <f t="shared" si="59"/>
        <v>0</v>
      </c>
      <c r="G223" s="96">
        <f t="shared" si="59"/>
        <v>0</v>
      </c>
      <c r="H223" s="96">
        <f t="shared" si="59"/>
        <v>0</v>
      </c>
      <c r="I223" s="96">
        <f t="shared" si="59"/>
        <v>0</v>
      </c>
      <c r="J223" s="96">
        <f t="shared" si="59"/>
        <v>0</v>
      </c>
      <c r="K223" s="94"/>
      <c r="L223" s="94"/>
      <c r="M223" s="94"/>
      <c r="N223" s="94"/>
      <c r="O223" s="94"/>
      <c r="P223" s="94"/>
      <c r="Q223" s="94"/>
      <c r="R223" s="94"/>
      <c r="S223" s="94"/>
      <c r="T223" s="94"/>
      <c r="U223" s="94"/>
      <c r="V223" s="94"/>
      <c r="W223" s="94"/>
    </row>
    <row r="224" spans="1:23">
      <c r="A224" s="95" t="str">
        <f t="shared" si="55"/>
        <v>Chilli</v>
      </c>
      <c r="B224" s="95"/>
      <c r="C224" s="257"/>
      <c r="D224" s="96">
        <f t="shared" si="59"/>
        <v>0</v>
      </c>
      <c r="E224" s="96">
        <f t="shared" si="59"/>
        <v>0</v>
      </c>
      <c r="F224" s="96">
        <f t="shared" si="59"/>
        <v>0</v>
      </c>
      <c r="G224" s="96">
        <f t="shared" si="59"/>
        <v>0</v>
      </c>
      <c r="H224" s="96">
        <f t="shared" si="59"/>
        <v>0</v>
      </c>
      <c r="I224" s="96">
        <f t="shared" si="59"/>
        <v>0</v>
      </c>
      <c r="J224" s="96">
        <f t="shared" si="59"/>
        <v>0</v>
      </c>
      <c r="K224" s="94"/>
      <c r="L224" s="94"/>
      <c r="M224" s="94"/>
      <c r="N224" s="94"/>
      <c r="O224" s="94"/>
      <c r="P224" s="94"/>
      <c r="Q224" s="94"/>
      <c r="R224" s="94"/>
      <c r="S224" s="94"/>
      <c r="T224" s="94"/>
      <c r="U224" s="94"/>
      <c r="V224" s="94"/>
      <c r="W224" s="94"/>
    </row>
    <row r="225" spans="1:23">
      <c r="A225" s="95" t="str">
        <f t="shared" si="55"/>
        <v>Potato</v>
      </c>
      <c r="B225" s="95"/>
      <c r="C225" s="257"/>
      <c r="D225" s="96">
        <f t="shared" si="59"/>
        <v>0</v>
      </c>
      <c r="E225" s="96">
        <f t="shared" si="59"/>
        <v>0</v>
      </c>
      <c r="F225" s="96">
        <f t="shared" si="59"/>
        <v>0</v>
      </c>
      <c r="G225" s="96">
        <f t="shared" si="59"/>
        <v>0</v>
      </c>
      <c r="H225" s="96">
        <f t="shared" si="59"/>
        <v>0</v>
      </c>
      <c r="I225" s="96">
        <f t="shared" si="59"/>
        <v>0</v>
      </c>
      <c r="J225" s="96">
        <f t="shared" si="59"/>
        <v>0</v>
      </c>
      <c r="K225" s="94"/>
      <c r="L225" s="94"/>
      <c r="M225" s="94"/>
      <c r="N225" s="94"/>
      <c r="O225" s="94"/>
      <c r="P225" s="94"/>
      <c r="Q225" s="94"/>
      <c r="R225" s="94"/>
      <c r="S225" s="94"/>
      <c r="T225" s="94"/>
      <c r="U225" s="94"/>
      <c r="V225" s="94"/>
      <c r="W225" s="94"/>
    </row>
    <row r="226" spans="1:23">
      <c r="A226" s="95">
        <f t="shared" si="55"/>
        <v>0</v>
      </c>
      <c r="B226" s="95"/>
      <c r="C226" s="257"/>
      <c r="D226" s="96">
        <f t="shared" si="59"/>
        <v>0</v>
      </c>
      <c r="E226" s="96">
        <f t="shared" si="59"/>
        <v>0</v>
      </c>
      <c r="F226" s="96">
        <f t="shared" si="59"/>
        <v>0</v>
      </c>
      <c r="G226" s="96">
        <f t="shared" si="59"/>
        <v>0</v>
      </c>
      <c r="H226" s="96">
        <f t="shared" si="59"/>
        <v>0</v>
      </c>
      <c r="I226" s="96">
        <f t="shared" si="59"/>
        <v>0</v>
      </c>
      <c r="J226" s="96">
        <f t="shared" si="59"/>
        <v>0</v>
      </c>
      <c r="K226" s="94"/>
      <c r="L226" s="94"/>
      <c r="M226" s="94"/>
      <c r="N226" s="94"/>
      <c r="O226" s="94"/>
      <c r="P226" s="94"/>
      <c r="Q226" s="94"/>
      <c r="R226" s="94"/>
      <c r="S226" s="94"/>
      <c r="T226" s="94"/>
      <c r="U226" s="94"/>
      <c r="V226" s="94"/>
      <c r="W226" s="94"/>
    </row>
    <row r="227" spans="1:23">
      <c r="A227" s="95">
        <f t="shared" si="55"/>
        <v>0</v>
      </c>
      <c r="B227" s="95"/>
      <c r="C227" s="257"/>
      <c r="D227" s="96">
        <f t="shared" si="59"/>
        <v>0</v>
      </c>
      <c r="E227" s="96">
        <f t="shared" si="59"/>
        <v>0</v>
      </c>
      <c r="F227" s="96">
        <f t="shared" si="59"/>
        <v>0</v>
      </c>
      <c r="G227" s="96">
        <f t="shared" si="59"/>
        <v>0</v>
      </c>
      <c r="H227" s="96">
        <f t="shared" si="59"/>
        <v>0</v>
      </c>
      <c r="I227" s="96">
        <f t="shared" si="59"/>
        <v>0</v>
      </c>
      <c r="J227" s="96">
        <f t="shared" si="59"/>
        <v>0</v>
      </c>
      <c r="K227" s="94"/>
      <c r="L227" s="94"/>
      <c r="M227" s="94"/>
      <c r="N227" s="94"/>
      <c r="O227" s="94"/>
      <c r="P227" s="94"/>
      <c r="Q227" s="94"/>
      <c r="R227" s="94"/>
      <c r="S227" s="94"/>
      <c r="T227" s="94"/>
      <c r="U227" s="94"/>
      <c r="V227" s="94"/>
      <c r="W227" s="94"/>
    </row>
    <row r="228" spans="1:23">
      <c r="A228" s="95">
        <f t="shared" si="55"/>
        <v>0</v>
      </c>
      <c r="B228" s="95"/>
      <c r="C228" s="257"/>
      <c r="D228" s="96">
        <f t="shared" si="59"/>
        <v>0</v>
      </c>
      <c r="E228" s="96">
        <f t="shared" si="59"/>
        <v>0</v>
      </c>
      <c r="F228" s="96">
        <f t="shared" si="59"/>
        <v>0</v>
      </c>
      <c r="G228" s="96">
        <f t="shared" si="59"/>
        <v>0</v>
      </c>
      <c r="H228" s="96">
        <f t="shared" si="59"/>
        <v>0</v>
      </c>
      <c r="I228" s="96">
        <f t="shared" si="59"/>
        <v>0</v>
      </c>
      <c r="J228" s="96">
        <f t="shared" si="59"/>
        <v>0</v>
      </c>
      <c r="K228" s="94"/>
      <c r="L228" s="94"/>
      <c r="M228" s="94"/>
      <c r="N228" s="94"/>
      <c r="O228" s="94"/>
      <c r="P228" s="94"/>
      <c r="Q228" s="94"/>
      <c r="R228" s="94"/>
      <c r="S228" s="94"/>
      <c r="T228" s="94"/>
      <c r="U228" s="94"/>
      <c r="V228" s="94"/>
      <c r="W228" s="94"/>
    </row>
    <row r="229" spans="1:23">
      <c r="A229" s="95">
        <f t="shared" si="55"/>
        <v>0</v>
      </c>
      <c r="B229" s="95"/>
      <c r="C229" s="257"/>
      <c r="D229" s="96">
        <f t="shared" si="59"/>
        <v>0</v>
      </c>
      <c r="E229" s="96">
        <f t="shared" si="59"/>
        <v>0</v>
      </c>
      <c r="F229" s="96">
        <f t="shared" si="59"/>
        <v>0</v>
      </c>
      <c r="G229" s="96">
        <f t="shared" si="59"/>
        <v>0</v>
      </c>
      <c r="H229" s="96">
        <f t="shared" si="59"/>
        <v>0</v>
      </c>
      <c r="I229" s="96">
        <f t="shared" si="59"/>
        <v>0</v>
      </c>
      <c r="J229" s="96">
        <f t="shared" si="59"/>
        <v>0</v>
      </c>
      <c r="K229" s="94"/>
      <c r="L229" s="94"/>
      <c r="M229" s="94"/>
      <c r="N229" s="94"/>
      <c r="O229" s="94"/>
      <c r="P229" s="94"/>
      <c r="Q229" s="94"/>
      <c r="R229" s="94"/>
      <c r="S229" s="94"/>
      <c r="T229" s="94"/>
      <c r="U229" s="94"/>
      <c r="V229" s="94"/>
      <c r="W229" s="94"/>
    </row>
    <row r="230" spans="1:23">
      <c r="A230" s="95" t="str">
        <f t="shared" si="55"/>
        <v>Onion</v>
      </c>
      <c r="B230" s="95"/>
      <c r="C230" s="257"/>
      <c r="D230" s="96">
        <f t="shared" si="59"/>
        <v>0</v>
      </c>
      <c r="E230" s="96">
        <f t="shared" si="59"/>
        <v>0</v>
      </c>
      <c r="F230" s="96">
        <f t="shared" si="59"/>
        <v>0</v>
      </c>
      <c r="G230" s="96">
        <f t="shared" si="59"/>
        <v>0</v>
      </c>
      <c r="H230" s="96">
        <f t="shared" si="59"/>
        <v>0</v>
      </c>
      <c r="I230" s="96">
        <f t="shared" si="59"/>
        <v>0</v>
      </c>
      <c r="J230" s="96">
        <f t="shared" si="59"/>
        <v>0</v>
      </c>
      <c r="K230" s="94"/>
      <c r="L230" s="94"/>
      <c r="M230" s="94"/>
      <c r="N230" s="94"/>
      <c r="O230" s="94"/>
      <c r="P230" s="94"/>
      <c r="Q230" s="94"/>
      <c r="R230" s="94"/>
      <c r="S230" s="94"/>
      <c r="T230" s="94"/>
      <c r="U230" s="94"/>
      <c r="V230" s="94"/>
      <c r="W230" s="94"/>
    </row>
    <row r="231" spans="1:23">
      <c r="A231" s="95" t="str">
        <f t="shared" si="55"/>
        <v>Tomato</v>
      </c>
      <c r="B231" s="95"/>
      <c r="C231" s="257"/>
      <c r="D231" s="96">
        <f t="shared" ref="D231:J238" si="60">C96*$C231*D$124</f>
        <v>0</v>
      </c>
      <c r="E231" s="96">
        <f t="shared" si="60"/>
        <v>0</v>
      </c>
      <c r="F231" s="96">
        <f t="shared" si="60"/>
        <v>0</v>
      </c>
      <c r="G231" s="96">
        <f t="shared" si="60"/>
        <v>0</v>
      </c>
      <c r="H231" s="96">
        <f t="shared" si="60"/>
        <v>0</v>
      </c>
      <c r="I231" s="96">
        <f t="shared" si="60"/>
        <v>0</v>
      </c>
      <c r="J231" s="96">
        <f t="shared" si="60"/>
        <v>0</v>
      </c>
      <c r="K231" s="94"/>
      <c r="L231" s="94"/>
      <c r="M231" s="94"/>
      <c r="N231" s="94"/>
      <c r="O231" s="94"/>
      <c r="P231" s="94"/>
      <c r="Q231" s="94"/>
      <c r="R231" s="94"/>
      <c r="S231" s="94"/>
      <c r="T231" s="94"/>
      <c r="U231" s="94"/>
      <c r="V231" s="94"/>
      <c r="W231" s="94"/>
    </row>
    <row r="232" spans="1:23">
      <c r="A232" s="95" t="str">
        <f t="shared" si="55"/>
        <v>Okra</v>
      </c>
      <c r="B232" s="95"/>
      <c r="C232" s="257"/>
      <c r="D232" s="96">
        <f t="shared" si="60"/>
        <v>0</v>
      </c>
      <c r="E232" s="96">
        <f t="shared" si="60"/>
        <v>0</v>
      </c>
      <c r="F232" s="96">
        <f t="shared" si="60"/>
        <v>0</v>
      </c>
      <c r="G232" s="96">
        <f t="shared" si="60"/>
        <v>0</v>
      </c>
      <c r="H232" s="96">
        <f t="shared" si="60"/>
        <v>0</v>
      </c>
      <c r="I232" s="96">
        <f t="shared" si="60"/>
        <v>0</v>
      </c>
      <c r="J232" s="96">
        <f t="shared" si="60"/>
        <v>0</v>
      </c>
      <c r="K232" s="94"/>
      <c r="L232" s="94"/>
      <c r="M232" s="94"/>
      <c r="N232" s="94"/>
      <c r="O232" s="94"/>
      <c r="P232" s="94"/>
      <c r="Q232" s="94"/>
      <c r="R232" s="94"/>
      <c r="S232" s="94"/>
      <c r="T232" s="94"/>
      <c r="U232" s="94"/>
      <c r="V232" s="94"/>
      <c r="W232" s="94"/>
    </row>
    <row r="233" spans="1:23">
      <c r="A233" s="95" t="str">
        <f t="shared" si="55"/>
        <v>Chilli</v>
      </c>
      <c r="B233" s="95"/>
      <c r="C233" s="257"/>
      <c r="D233" s="96">
        <f t="shared" si="60"/>
        <v>0</v>
      </c>
      <c r="E233" s="96">
        <f t="shared" si="60"/>
        <v>0</v>
      </c>
      <c r="F233" s="96">
        <f t="shared" si="60"/>
        <v>0</v>
      </c>
      <c r="G233" s="96">
        <f t="shared" si="60"/>
        <v>0</v>
      </c>
      <c r="H233" s="96">
        <f t="shared" si="60"/>
        <v>0</v>
      </c>
      <c r="I233" s="96">
        <f t="shared" si="60"/>
        <v>0</v>
      </c>
      <c r="J233" s="96">
        <f t="shared" si="60"/>
        <v>0</v>
      </c>
      <c r="K233" s="94"/>
      <c r="L233" s="94"/>
      <c r="M233" s="94"/>
      <c r="N233" s="94"/>
      <c r="O233" s="94"/>
      <c r="P233" s="94"/>
      <c r="Q233" s="94"/>
      <c r="R233" s="94"/>
      <c r="S233" s="94"/>
      <c r="T233" s="94"/>
      <c r="U233" s="94"/>
      <c r="V233" s="94"/>
      <c r="W233" s="94"/>
    </row>
    <row r="234" spans="1:23">
      <c r="A234" s="95" t="str">
        <f t="shared" si="55"/>
        <v>Brinjal</v>
      </c>
      <c r="B234" s="95"/>
      <c r="C234" s="257"/>
      <c r="D234" s="96">
        <f t="shared" si="60"/>
        <v>0</v>
      </c>
      <c r="E234" s="96">
        <f t="shared" si="60"/>
        <v>0</v>
      </c>
      <c r="F234" s="96">
        <f t="shared" si="60"/>
        <v>0</v>
      </c>
      <c r="G234" s="96">
        <f t="shared" si="60"/>
        <v>0</v>
      </c>
      <c r="H234" s="96">
        <f t="shared" si="60"/>
        <v>0</v>
      </c>
      <c r="I234" s="96">
        <f t="shared" si="60"/>
        <v>0</v>
      </c>
      <c r="J234" s="96">
        <f t="shared" si="60"/>
        <v>0</v>
      </c>
      <c r="K234" s="94"/>
      <c r="L234" s="94"/>
      <c r="M234" s="94"/>
      <c r="N234" s="94"/>
      <c r="O234" s="94"/>
      <c r="P234" s="94"/>
      <c r="Q234" s="94"/>
      <c r="R234" s="94"/>
      <c r="S234" s="94"/>
      <c r="T234" s="94"/>
      <c r="U234" s="94"/>
      <c r="V234" s="94"/>
      <c r="W234" s="94"/>
    </row>
    <row r="235" spans="1:23">
      <c r="A235" s="95">
        <f t="shared" si="55"/>
        <v>0</v>
      </c>
      <c r="B235" s="95"/>
      <c r="C235" s="257"/>
      <c r="D235" s="96">
        <f t="shared" si="60"/>
        <v>0</v>
      </c>
      <c r="E235" s="96">
        <f t="shared" si="60"/>
        <v>0</v>
      </c>
      <c r="F235" s="96">
        <f t="shared" si="60"/>
        <v>0</v>
      </c>
      <c r="G235" s="96">
        <f t="shared" si="60"/>
        <v>0</v>
      </c>
      <c r="H235" s="96">
        <f t="shared" si="60"/>
        <v>0</v>
      </c>
      <c r="I235" s="96">
        <f t="shared" si="60"/>
        <v>0</v>
      </c>
      <c r="J235" s="96">
        <f t="shared" si="60"/>
        <v>0</v>
      </c>
      <c r="K235" s="94"/>
      <c r="L235" s="94"/>
      <c r="M235" s="94"/>
      <c r="N235" s="94"/>
      <c r="O235" s="94"/>
      <c r="P235" s="94"/>
      <c r="Q235" s="94"/>
      <c r="R235" s="94"/>
      <c r="S235" s="94"/>
      <c r="T235" s="94"/>
      <c r="U235" s="94"/>
      <c r="V235" s="94"/>
      <c r="W235" s="94"/>
    </row>
    <row r="236" spans="1:23">
      <c r="A236" s="95">
        <f t="shared" si="55"/>
        <v>0</v>
      </c>
      <c r="B236" s="95"/>
      <c r="C236" s="257"/>
      <c r="D236" s="96">
        <f t="shared" si="60"/>
        <v>0</v>
      </c>
      <c r="E236" s="96">
        <f t="shared" si="60"/>
        <v>0</v>
      </c>
      <c r="F236" s="96">
        <f t="shared" si="60"/>
        <v>0</v>
      </c>
      <c r="G236" s="96">
        <f t="shared" si="60"/>
        <v>0</v>
      </c>
      <c r="H236" s="96">
        <f t="shared" si="60"/>
        <v>0</v>
      </c>
      <c r="I236" s="96">
        <f t="shared" si="60"/>
        <v>0</v>
      </c>
      <c r="J236" s="96">
        <f t="shared" si="60"/>
        <v>0</v>
      </c>
      <c r="K236" s="94"/>
      <c r="L236" s="94"/>
      <c r="M236" s="94"/>
      <c r="N236" s="94"/>
      <c r="O236" s="94"/>
      <c r="P236" s="94"/>
      <c r="Q236" s="94"/>
      <c r="R236" s="94"/>
      <c r="S236" s="94"/>
      <c r="T236" s="94"/>
      <c r="U236" s="94"/>
      <c r="V236" s="94"/>
      <c r="W236" s="94"/>
    </row>
    <row r="237" spans="1:23">
      <c r="A237" s="95">
        <f t="shared" si="55"/>
        <v>0</v>
      </c>
      <c r="B237" s="95"/>
      <c r="C237" s="257"/>
      <c r="D237" s="96">
        <f t="shared" si="60"/>
        <v>0</v>
      </c>
      <c r="E237" s="96">
        <f t="shared" si="60"/>
        <v>0</v>
      </c>
      <c r="F237" s="96">
        <f t="shared" si="60"/>
        <v>0</v>
      </c>
      <c r="G237" s="96">
        <f t="shared" si="60"/>
        <v>0</v>
      </c>
      <c r="H237" s="96">
        <f t="shared" si="60"/>
        <v>0</v>
      </c>
      <c r="I237" s="96">
        <f t="shared" si="60"/>
        <v>0</v>
      </c>
      <c r="J237" s="96">
        <f t="shared" si="60"/>
        <v>0</v>
      </c>
      <c r="K237" s="94"/>
      <c r="L237" s="94"/>
      <c r="M237" s="94"/>
      <c r="N237" s="94"/>
      <c r="O237" s="94"/>
      <c r="P237" s="94"/>
      <c r="Q237" s="94"/>
      <c r="R237" s="94"/>
      <c r="S237" s="94"/>
      <c r="T237" s="94"/>
      <c r="U237" s="94"/>
      <c r="V237" s="94"/>
      <c r="W237" s="94"/>
    </row>
    <row r="238" spans="1:23">
      <c r="A238" s="95">
        <f t="shared" si="55"/>
        <v>0</v>
      </c>
      <c r="B238" s="95"/>
      <c r="C238" s="257"/>
      <c r="D238" s="96">
        <f t="shared" si="60"/>
        <v>0</v>
      </c>
      <c r="E238" s="96">
        <f t="shared" si="60"/>
        <v>0</v>
      </c>
      <c r="F238" s="96">
        <f t="shared" si="60"/>
        <v>0</v>
      </c>
      <c r="G238" s="96">
        <f t="shared" si="60"/>
        <v>0</v>
      </c>
      <c r="H238" s="96">
        <f t="shared" si="60"/>
        <v>0</v>
      </c>
      <c r="I238" s="96">
        <f t="shared" si="60"/>
        <v>0</v>
      </c>
      <c r="J238" s="96">
        <f t="shared" si="60"/>
        <v>0</v>
      </c>
      <c r="K238" s="94"/>
      <c r="L238" s="94"/>
      <c r="M238" s="94"/>
      <c r="N238" s="94"/>
      <c r="O238" s="94"/>
      <c r="P238" s="94"/>
      <c r="Q238" s="94"/>
      <c r="R238" s="94"/>
      <c r="S238" s="94"/>
      <c r="T238" s="94"/>
      <c r="U238" s="94"/>
      <c r="V238" s="94"/>
      <c r="W238" s="94"/>
    </row>
    <row r="239" spans="1:23">
      <c r="A239" s="95" t="str">
        <f>A175</f>
        <v>Pomegranate</v>
      </c>
      <c r="B239" s="95"/>
      <c r="C239" s="257"/>
      <c r="D239" s="96">
        <f t="shared" ref="D239:J243" si="61">C107*$C239*D$124</f>
        <v>0</v>
      </c>
      <c r="E239" s="96">
        <f t="shared" si="61"/>
        <v>0</v>
      </c>
      <c r="F239" s="96">
        <f t="shared" si="61"/>
        <v>0</v>
      </c>
      <c r="G239" s="96">
        <f t="shared" si="61"/>
        <v>0</v>
      </c>
      <c r="H239" s="96">
        <f t="shared" si="61"/>
        <v>0</v>
      </c>
      <c r="I239" s="96">
        <f t="shared" si="61"/>
        <v>0</v>
      </c>
      <c r="J239" s="96">
        <f t="shared" si="61"/>
        <v>0</v>
      </c>
      <c r="K239" s="94"/>
      <c r="L239" s="94"/>
      <c r="M239" s="94"/>
      <c r="N239" s="94"/>
      <c r="O239" s="94"/>
      <c r="P239" s="94"/>
      <c r="Q239" s="94"/>
      <c r="R239" s="94"/>
      <c r="S239" s="94"/>
      <c r="T239" s="94"/>
      <c r="U239" s="94"/>
      <c r="V239" s="94"/>
      <c r="W239" s="94"/>
    </row>
    <row r="240" spans="1:23">
      <c r="A240" s="95" t="str">
        <f>A176</f>
        <v>Custard Apple</v>
      </c>
      <c r="B240" s="95"/>
      <c r="C240" s="257"/>
      <c r="D240" s="96">
        <f t="shared" si="61"/>
        <v>0</v>
      </c>
      <c r="E240" s="96">
        <f t="shared" si="61"/>
        <v>0</v>
      </c>
      <c r="F240" s="96">
        <f t="shared" si="61"/>
        <v>0</v>
      </c>
      <c r="G240" s="96">
        <f t="shared" si="61"/>
        <v>0</v>
      </c>
      <c r="H240" s="96">
        <f t="shared" si="61"/>
        <v>0</v>
      </c>
      <c r="I240" s="96">
        <f t="shared" si="61"/>
        <v>0</v>
      </c>
      <c r="J240" s="96">
        <f t="shared" si="61"/>
        <v>0</v>
      </c>
      <c r="K240" s="94"/>
      <c r="L240" s="94"/>
      <c r="M240" s="94"/>
      <c r="N240" s="94"/>
      <c r="O240" s="94"/>
      <c r="P240" s="94"/>
      <c r="Q240" s="94"/>
      <c r="R240" s="94"/>
      <c r="S240" s="94"/>
      <c r="T240" s="94"/>
      <c r="U240" s="94"/>
      <c r="V240" s="94"/>
      <c r="W240" s="94"/>
    </row>
    <row r="241" spans="1:23">
      <c r="A241" s="95" t="str">
        <f>A177</f>
        <v>Guava</v>
      </c>
      <c r="B241" s="95"/>
      <c r="C241" s="257"/>
      <c r="D241" s="96">
        <f t="shared" si="61"/>
        <v>0</v>
      </c>
      <c r="E241" s="96">
        <f t="shared" si="61"/>
        <v>0</v>
      </c>
      <c r="F241" s="96">
        <f t="shared" si="61"/>
        <v>0</v>
      </c>
      <c r="G241" s="96">
        <f t="shared" si="61"/>
        <v>0</v>
      </c>
      <c r="H241" s="96">
        <f t="shared" si="61"/>
        <v>0</v>
      </c>
      <c r="I241" s="96">
        <f t="shared" si="61"/>
        <v>0</v>
      </c>
      <c r="J241" s="96">
        <f t="shared" si="61"/>
        <v>0</v>
      </c>
      <c r="K241" s="94"/>
      <c r="L241" s="94"/>
      <c r="M241" s="94"/>
      <c r="N241" s="94"/>
      <c r="O241" s="94"/>
      <c r="P241" s="94"/>
      <c r="Q241" s="94"/>
      <c r="R241" s="94"/>
      <c r="S241" s="94"/>
      <c r="T241" s="94"/>
      <c r="U241" s="94"/>
      <c r="V241" s="94"/>
      <c r="W241" s="94"/>
    </row>
    <row r="242" spans="1:23">
      <c r="A242" s="95" t="str">
        <f>A178</f>
        <v>Citrus</v>
      </c>
      <c r="B242" s="95"/>
      <c r="C242" s="257"/>
      <c r="D242" s="96">
        <f t="shared" si="61"/>
        <v>0</v>
      </c>
      <c r="E242" s="96">
        <f t="shared" si="61"/>
        <v>0</v>
      </c>
      <c r="F242" s="96">
        <f t="shared" si="61"/>
        <v>0</v>
      </c>
      <c r="G242" s="96">
        <f t="shared" si="61"/>
        <v>0</v>
      </c>
      <c r="H242" s="96">
        <f t="shared" si="61"/>
        <v>0</v>
      </c>
      <c r="I242" s="96">
        <f t="shared" si="61"/>
        <v>0</v>
      </c>
      <c r="J242" s="96">
        <f t="shared" si="61"/>
        <v>0</v>
      </c>
      <c r="K242" s="94"/>
      <c r="L242" s="94"/>
      <c r="M242" s="94"/>
      <c r="N242" s="94"/>
      <c r="O242" s="94"/>
      <c r="P242" s="94"/>
      <c r="Q242" s="94"/>
      <c r="R242" s="94"/>
      <c r="S242" s="94"/>
      <c r="T242" s="94"/>
      <c r="U242" s="94"/>
      <c r="V242" s="94"/>
      <c r="W242" s="94"/>
    </row>
    <row r="243" spans="1:23">
      <c r="A243" s="95">
        <f>A179</f>
        <v>0</v>
      </c>
      <c r="B243" s="95"/>
      <c r="C243" s="257"/>
      <c r="D243" s="96">
        <f t="shared" si="61"/>
        <v>0</v>
      </c>
      <c r="E243" s="96">
        <f t="shared" si="61"/>
        <v>0</v>
      </c>
      <c r="F243" s="96">
        <f t="shared" si="61"/>
        <v>0</v>
      </c>
      <c r="G243" s="96">
        <f t="shared" si="61"/>
        <v>0</v>
      </c>
      <c r="H243" s="96">
        <f t="shared" si="61"/>
        <v>0</v>
      </c>
      <c r="I243" s="96">
        <f t="shared" si="61"/>
        <v>0</v>
      </c>
      <c r="J243" s="96">
        <f t="shared" si="61"/>
        <v>0</v>
      </c>
      <c r="K243" s="94"/>
      <c r="L243" s="94"/>
      <c r="M243" s="94"/>
      <c r="N243" s="94"/>
      <c r="O243" s="94"/>
      <c r="P243" s="94"/>
      <c r="Q243" s="94"/>
      <c r="R243" s="94"/>
      <c r="S243" s="94"/>
      <c r="T243" s="94"/>
      <c r="U243" s="94"/>
      <c r="V243" s="94"/>
      <c r="W243" s="94"/>
    </row>
    <row r="244" spans="1:23">
      <c r="A244" s="95" t="str">
        <f>A181</f>
        <v>Fertilizer(Rate/KG)</v>
      </c>
      <c r="B244" s="95"/>
      <c r="C244" s="96"/>
      <c r="D244" s="96"/>
      <c r="E244" s="96"/>
      <c r="F244" s="96"/>
      <c r="G244" s="96"/>
      <c r="H244" s="96"/>
      <c r="I244" s="96"/>
      <c r="J244" s="96"/>
      <c r="K244" s="94"/>
      <c r="L244" s="94"/>
      <c r="M244" s="94"/>
      <c r="N244" s="94"/>
      <c r="O244" s="94"/>
      <c r="P244" s="94"/>
      <c r="Q244" s="94"/>
      <c r="R244" s="94"/>
      <c r="S244" s="94"/>
      <c r="T244" s="94"/>
      <c r="U244" s="94"/>
      <c r="V244" s="94"/>
      <c r="W244" s="94"/>
    </row>
    <row r="245" spans="1:23">
      <c r="A245" s="95" t="str">
        <f>A182</f>
        <v>SSP</v>
      </c>
      <c r="B245" s="95"/>
      <c r="C245" s="257">
        <v>6</v>
      </c>
      <c r="D245" s="96">
        <f t="shared" ref="D245:J245" si="62">C114*$C$245*D124</f>
        <v>0</v>
      </c>
      <c r="E245" s="96">
        <f t="shared" si="62"/>
        <v>0</v>
      </c>
      <c r="F245" s="96">
        <f t="shared" si="62"/>
        <v>0</v>
      </c>
      <c r="G245" s="96">
        <f t="shared" si="62"/>
        <v>0</v>
      </c>
      <c r="H245" s="96">
        <f t="shared" si="62"/>
        <v>0</v>
      </c>
      <c r="I245" s="96">
        <f t="shared" si="62"/>
        <v>0</v>
      </c>
      <c r="J245" s="96">
        <f t="shared" si="62"/>
        <v>0</v>
      </c>
      <c r="K245" s="94"/>
      <c r="L245" s="94"/>
      <c r="M245" s="94"/>
      <c r="N245" s="94"/>
      <c r="O245" s="94"/>
      <c r="P245" s="94"/>
      <c r="Q245" s="94"/>
      <c r="R245" s="94"/>
      <c r="S245" s="94"/>
      <c r="T245" s="94"/>
      <c r="U245" s="94"/>
      <c r="V245" s="94"/>
      <c r="W245" s="94"/>
    </row>
    <row r="246" spans="1:23">
      <c r="A246" s="95" t="str">
        <f>A183</f>
        <v>Urea</v>
      </c>
      <c r="B246" s="95"/>
      <c r="C246" s="257">
        <v>5</v>
      </c>
      <c r="D246" s="96">
        <f t="shared" ref="D246:J246" si="63">C115*$C$246*D124</f>
        <v>0</v>
      </c>
      <c r="E246" s="96">
        <f t="shared" si="63"/>
        <v>0</v>
      </c>
      <c r="F246" s="96">
        <f t="shared" si="63"/>
        <v>0</v>
      </c>
      <c r="G246" s="96">
        <f t="shared" si="63"/>
        <v>0</v>
      </c>
      <c r="H246" s="96">
        <f t="shared" si="63"/>
        <v>0</v>
      </c>
      <c r="I246" s="96">
        <f t="shared" si="63"/>
        <v>0</v>
      </c>
      <c r="J246" s="96">
        <f t="shared" si="63"/>
        <v>0</v>
      </c>
      <c r="K246" s="94"/>
      <c r="L246" s="94"/>
      <c r="M246" s="94"/>
      <c r="N246" s="94"/>
      <c r="O246" s="94"/>
      <c r="P246" s="94"/>
      <c r="Q246" s="94"/>
      <c r="R246" s="94"/>
      <c r="S246" s="94"/>
      <c r="T246" s="94"/>
      <c r="U246" s="94"/>
      <c r="V246" s="94"/>
      <c r="W246" s="94"/>
    </row>
    <row r="247" spans="1:23">
      <c r="A247" s="95" t="str">
        <f>A184</f>
        <v>DAP</v>
      </c>
      <c r="B247" s="95"/>
      <c r="C247" s="257">
        <v>27</v>
      </c>
      <c r="D247" s="96">
        <f t="shared" ref="D247:J247" si="64">C116*$C$247*D124</f>
        <v>0</v>
      </c>
      <c r="E247" s="96">
        <f t="shared" si="64"/>
        <v>0</v>
      </c>
      <c r="F247" s="96">
        <f t="shared" si="64"/>
        <v>0</v>
      </c>
      <c r="G247" s="96">
        <f t="shared" si="64"/>
        <v>0</v>
      </c>
      <c r="H247" s="96">
        <f t="shared" si="64"/>
        <v>0</v>
      </c>
      <c r="I247" s="96">
        <f t="shared" si="64"/>
        <v>0</v>
      </c>
      <c r="J247" s="96">
        <f t="shared" si="64"/>
        <v>0</v>
      </c>
      <c r="K247" s="94"/>
      <c r="L247" s="94"/>
      <c r="M247" s="94"/>
      <c r="N247" s="94"/>
      <c r="O247" s="94"/>
      <c r="P247" s="94"/>
      <c r="Q247" s="94"/>
      <c r="R247" s="94"/>
      <c r="S247" s="94"/>
      <c r="T247" s="94"/>
      <c r="U247" s="94"/>
      <c r="V247" s="94"/>
      <c r="W247" s="94"/>
    </row>
    <row r="248" spans="1:23">
      <c r="A248" s="95"/>
      <c r="B248" s="95"/>
      <c r="C248" s="96"/>
      <c r="D248" s="96"/>
      <c r="E248" s="96"/>
      <c r="F248" s="96"/>
      <c r="G248" s="96"/>
      <c r="H248" s="96"/>
      <c r="I248" s="96"/>
      <c r="J248" s="96"/>
      <c r="K248" s="94"/>
      <c r="L248" s="94"/>
      <c r="M248" s="94"/>
      <c r="N248" s="94"/>
      <c r="O248" s="94"/>
      <c r="P248" s="94"/>
      <c r="Q248" s="94"/>
      <c r="R248" s="94"/>
      <c r="S248" s="94"/>
      <c r="T248" s="94"/>
      <c r="U248" s="94"/>
      <c r="V248" s="94"/>
      <c r="W248" s="94"/>
    </row>
    <row r="249" spans="1:23">
      <c r="A249" s="95" t="str">
        <f>A186</f>
        <v>Pesticide</v>
      </c>
      <c r="B249" s="95"/>
      <c r="C249" s="96"/>
      <c r="D249" s="96"/>
      <c r="E249" s="96"/>
      <c r="F249" s="96"/>
      <c r="G249" s="96"/>
      <c r="H249" s="96"/>
      <c r="I249" s="96"/>
      <c r="J249" s="96"/>
      <c r="K249" s="94"/>
      <c r="L249" s="94"/>
      <c r="M249" s="94"/>
      <c r="N249" s="94"/>
      <c r="O249" s="94"/>
      <c r="P249" s="94"/>
      <c r="Q249" s="94"/>
      <c r="R249" s="94"/>
      <c r="S249" s="94"/>
      <c r="T249" s="94"/>
      <c r="U249" s="94"/>
      <c r="V249" s="94"/>
      <c r="W249" s="94"/>
    </row>
    <row r="250" spans="1:23">
      <c r="A250" s="95" t="str">
        <f>A187</f>
        <v>Dupont Coragen</v>
      </c>
      <c r="B250" s="95"/>
      <c r="C250" s="257">
        <v>2800</v>
      </c>
      <c r="D250" s="96">
        <f t="shared" ref="D250:J250" si="65">C118*$C$250*D124</f>
        <v>0</v>
      </c>
      <c r="E250" s="96">
        <f t="shared" si="65"/>
        <v>0</v>
      </c>
      <c r="F250" s="96">
        <f t="shared" si="65"/>
        <v>0</v>
      </c>
      <c r="G250" s="96">
        <f t="shared" si="65"/>
        <v>0</v>
      </c>
      <c r="H250" s="96">
        <f t="shared" si="65"/>
        <v>0</v>
      </c>
      <c r="I250" s="96">
        <f t="shared" si="65"/>
        <v>0</v>
      </c>
      <c r="J250" s="96">
        <f t="shared" si="65"/>
        <v>0</v>
      </c>
      <c r="K250" s="94"/>
      <c r="L250" s="94"/>
      <c r="M250" s="94"/>
      <c r="N250" s="94"/>
      <c r="O250" s="94"/>
      <c r="P250" s="94"/>
      <c r="Q250" s="94"/>
      <c r="R250" s="94"/>
      <c r="S250" s="94"/>
      <c r="T250" s="94"/>
      <c r="U250" s="94"/>
      <c r="V250" s="94"/>
      <c r="W250" s="94"/>
    </row>
    <row r="251" spans="1:23">
      <c r="A251" s="95" t="str">
        <f>A188</f>
        <v>Confidor Boyer</v>
      </c>
      <c r="B251" s="95"/>
      <c r="C251" s="257">
        <v>2000</v>
      </c>
      <c r="D251" s="96">
        <f t="shared" ref="D251:J251" si="66">C119*$C$251*D124</f>
        <v>0</v>
      </c>
      <c r="E251" s="96">
        <f t="shared" si="66"/>
        <v>0</v>
      </c>
      <c r="F251" s="96">
        <f t="shared" si="66"/>
        <v>0</v>
      </c>
      <c r="G251" s="96">
        <f t="shared" si="66"/>
        <v>0</v>
      </c>
      <c r="H251" s="96">
        <f t="shared" si="66"/>
        <v>0</v>
      </c>
      <c r="I251" s="96">
        <f t="shared" si="66"/>
        <v>0</v>
      </c>
      <c r="J251" s="96">
        <f t="shared" si="66"/>
        <v>0</v>
      </c>
      <c r="K251" s="94"/>
      <c r="L251" s="94"/>
      <c r="M251" s="94"/>
      <c r="N251" s="94"/>
      <c r="O251" s="94"/>
      <c r="P251" s="94"/>
      <c r="Q251" s="94"/>
      <c r="R251" s="94"/>
      <c r="S251" s="94"/>
      <c r="T251" s="94"/>
      <c r="U251" s="94"/>
      <c r="V251" s="94"/>
      <c r="W251" s="94"/>
    </row>
    <row r="252" spans="1:23">
      <c r="A252" s="95"/>
      <c r="B252" s="95"/>
      <c r="C252" s="96"/>
      <c r="D252" s="96"/>
      <c r="E252" s="96"/>
      <c r="F252" s="96"/>
      <c r="G252" s="96"/>
      <c r="H252" s="96"/>
      <c r="I252" s="96"/>
      <c r="J252" s="96"/>
      <c r="K252" s="94"/>
      <c r="L252" s="94"/>
      <c r="M252" s="94"/>
      <c r="N252" s="94"/>
      <c r="O252" s="94"/>
      <c r="P252" s="94"/>
      <c r="Q252" s="94"/>
      <c r="R252" s="94"/>
      <c r="S252" s="94"/>
      <c r="T252" s="94"/>
      <c r="U252" s="94"/>
      <c r="V252" s="94"/>
      <c r="W252" s="94"/>
    </row>
    <row r="253" spans="1:23">
      <c r="A253" s="95" t="s">
        <v>295</v>
      </c>
      <c r="B253" s="95"/>
      <c r="C253" s="257">
        <v>10</v>
      </c>
      <c r="D253" s="96">
        <f t="shared" ref="D253:J253" si="67">(SUM(C63:C119)/50)*$C$253*D124</f>
        <v>0</v>
      </c>
      <c r="E253" s="96">
        <f t="shared" si="67"/>
        <v>0</v>
      </c>
      <c r="F253" s="96">
        <f t="shared" si="67"/>
        <v>0</v>
      </c>
      <c r="G253" s="96">
        <f t="shared" si="67"/>
        <v>0</v>
      </c>
      <c r="H253" s="96">
        <f t="shared" si="67"/>
        <v>0</v>
      </c>
      <c r="I253" s="96">
        <f t="shared" si="67"/>
        <v>0</v>
      </c>
      <c r="J253" s="96">
        <f t="shared" si="67"/>
        <v>0</v>
      </c>
      <c r="K253" s="94"/>
      <c r="L253" s="94"/>
      <c r="M253" s="94"/>
      <c r="N253" s="94"/>
      <c r="O253" s="94"/>
      <c r="P253" s="94"/>
      <c r="Q253" s="94"/>
      <c r="R253" s="94"/>
      <c r="S253" s="94"/>
      <c r="T253" s="94"/>
      <c r="U253" s="94"/>
      <c r="V253" s="94"/>
      <c r="W253" s="94"/>
    </row>
    <row r="254" spans="1:23">
      <c r="A254" s="95" t="s">
        <v>174</v>
      </c>
      <c r="B254" s="95"/>
      <c r="C254" s="257">
        <v>100</v>
      </c>
      <c r="D254" s="96">
        <f t="shared" ref="D254:J254" si="68">(SUM(C63:C119)/50)*$C$254*D124</f>
        <v>0</v>
      </c>
      <c r="E254" s="96">
        <f t="shared" si="68"/>
        <v>0</v>
      </c>
      <c r="F254" s="96">
        <f t="shared" si="68"/>
        <v>0</v>
      </c>
      <c r="G254" s="96">
        <f t="shared" si="68"/>
        <v>0</v>
      </c>
      <c r="H254" s="96">
        <f t="shared" si="68"/>
        <v>0</v>
      </c>
      <c r="I254" s="96">
        <f t="shared" si="68"/>
        <v>0</v>
      </c>
      <c r="J254" s="96">
        <f t="shared" si="68"/>
        <v>0</v>
      </c>
      <c r="K254" s="94"/>
      <c r="L254" s="94"/>
      <c r="M254" s="94"/>
      <c r="N254" s="94"/>
      <c r="O254" s="94"/>
      <c r="P254" s="94"/>
      <c r="Q254" s="94"/>
      <c r="R254" s="94"/>
      <c r="S254" s="94"/>
      <c r="T254" s="94"/>
      <c r="U254" s="94"/>
      <c r="V254" s="94"/>
      <c r="W254" s="94"/>
    </row>
    <row r="255" spans="1:23">
      <c r="A255" s="95"/>
      <c r="B255" s="95"/>
      <c r="C255" s="257"/>
      <c r="D255" s="208"/>
      <c r="E255" s="96"/>
      <c r="F255" s="96"/>
      <c r="G255" s="96"/>
      <c r="H255" s="96"/>
      <c r="I255" s="96"/>
      <c r="J255" s="96"/>
      <c r="K255" s="94"/>
      <c r="L255" s="94"/>
      <c r="M255" s="94"/>
      <c r="N255" s="94"/>
      <c r="O255" s="94"/>
      <c r="P255" s="94"/>
      <c r="Q255" s="94"/>
      <c r="R255" s="94"/>
      <c r="S255" s="94"/>
      <c r="T255" s="94"/>
      <c r="U255" s="94"/>
      <c r="V255" s="94"/>
      <c r="W255" s="94"/>
    </row>
    <row r="256" spans="1:23">
      <c r="A256" s="95"/>
      <c r="B256" s="95"/>
      <c r="C256" s="257"/>
      <c r="D256" s="208"/>
      <c r="E256" s="96"/>
      <c r="F256" s="96"/>
      <c r="G256" s="96"/>
      <c r="H256" s="96"/>
      <c r="I256" s="96"/>
      <c r="J256" s="96"/>
      <c r="K256" s="94"/>
      <c r="L256" s="94"/>
      <c r="M256" s="94"/>
      <c r="N256" s="94"/>
      <c r="O256" s="94"/>
      <c r="P256" s="94"/>
      <c r="Q256" s="94"/>
      <c r="R256" s="94"/>
      <c r="S256" s="94"/>
      <c r="T256" s="94"/>
      <c r="U256" s="94"/>
      <c r="V256" s="94"/>
      <c r="W256" s="94"/>
    </row>
    <row r="257" spans="1:23">
      <c r="A257" s="95"/>
      <c r="B257" s="95"/>
      <c r="C257" s="257"/>
      <c r="D257" s="208"/>
      <c r="E257" s="96"/>
      <c r="F257" s="96"/>
      <c r="G257" s="96"/>
      <c r="H257" s="96"/>
      <c r="I257" s="96"/>
      <c r="J257" s="96"/>
      <c r="K257" s="94"/>
      <c r="L257" s="94"/>
      <c r="M257" s="94"/>
      <c r="N257" s="94"/>
      <c r="O257" s="94"/>
      <c r="P257" s="94"/>
      <c r="Q257" s="94"/>
      <c r="R257" s="94"/>
      <c r="S257" s="94"/>
      <c r="T257" s="94"/>
      <c r="U257" s="94"/>
      <c r="V257" s="94"/>
      <c r="W257" s="94"/>
    </row>
    <row r="258" spans="1:23">
      <c r="A258" s="95"/>
      <c r="B258" s="95"/>
      <c r="C258" s="257"/>
      <c r="D258" s="208"/>
      <c r="E258" s="96"/>
      <c r="F258" s="96"/>
      <c r="G258" s="96"/>
      <c r="H258" s="96"/>
      <c r="I258" s="96"/>
      <c r="J258" s="96"/>
      <c r="K258" s="94"/>
      <c r="L258" s="94"/>
      <c r="M258" s="94"/>
      <c r="N258" s="94"/>
      <c r="O258" s="94"/>
      <c r="P258" s="94"/>
      <c r="Q258" s="94"/>
      <c r="R258" s="94"/>
      <c r="S258" s="94"/>
      <c r="T258" s="94"/>
      <c r="U258" s="94"/>
      <c r="V258" s="94"/>
      <c r="W258" s="94"/>
    </row>
    <row r="259" spans="1:23">
      <c r="A259" s="95" t="s">
        <v>348</v>
      </c>
      <c r="B259" s="95"/>
      <c r="C259" s="96"/>
      <c r="D259" s="208"/>
      <c r="E259" s="96">
        <f>'5.Closing Stock &amp; W Capital'!F6</f>
        <v>0</v>
      </c>
      <c r="F259" s="96">
        <f>'5.Closing Stock &amp; W Capital'!G6</f>
        <v>0</v>
      </c>
      <c r="G259" s="96">
        <f>'5.Closing Stock &amp; W Capital'!H6</f>
        <v>0</v>
      </c>
      <c r="H259" s="96">
        <f>'5.Closing Stock &amp; W Capital'!I6</f>
        <v>0</v>
      </c>
      <c r="I259" s="96">
        <f>'5.Closing Stock &amp; W Capital'!J6</f>
        <v>0</v>
      </c>
      <c r="J259" s="96">
        <f>'5.Closing Stock &amp; W Capital'!K6</f>
        <v>0</v>
      </c>
      <c r="K259" s="94"/>
      <c r="L259" s="94"/>
      <c r="M259" s="94"/>
      <c r="N259" s="94"/>
      <c r="O259" s="94"/>
      <c r="P259" s="94"/>
      <c r="Q259" s="94"/>
      <c r="R259" s="94"/>
      <c r="S259" s="94"/>
      <c r="T259" s="94"/>
      <c r="U259" s="94"/>
      <c r="V259" s="94"/>
      <c r="W259" s="94"/>
    </row>
    <row r="260" spans="1:23">
      <c r="A260" s="99" t="s">
        <v>349</v>
      </c>
      <c r="B260" s="95"/>
      <c r="C260" s="95"/>
      <c r="D260" s="208">
        <f>'5.Closing Stock &amp; W Capital'!E15</f>
        <v>0</v>
      </c>
      <c r="E260" s="96">
        <f>'5.Closing Stock &amp; W Capital'!F15</f>
        <v>0</v>
      </c>
      <c r="F260" s="96">
        <f>'5.Closing Stock &amp; W Capital'!G15</f>
        <v>0</v>
      </c>
      <c r="G260" s="96">
        <f>'5.Closing Stock &amp; W Capital'!H15</f>
        <v>0</v>
      </c>
      <c r="H260" s="96">
        <f>'5.Closing Stock &amp; W Capital'!I15</f>
        <v>0</v>
      </c>
      <c r="I260" s="96">
        <f>'5.Closing Stock &amp; W Capital'!J15</f>
        <v>0</v>
      </c>
      <c r="J260" s="96">
        <f>'5.Closing Stock &amp; W Capital'!K15</f>
        <v>0</v>
      </c>
      <c r="K260" s="94"/>
      <c r="L260" s="94"/>
      <c r="M260" s="94"/>
      <c r="N260" s="94"/>
      <c r="O260" s="94"/>
      <c r="P260" s="94"/>
      <c r="Q260" s="94"/>
      <c r="R260" s="94"/>
      <c r="S260" s="94"/>
      <c r="T260" s="94"/>
      <c r="U260" s="94"/>
      <c r="V260" s="94"/>
      <c r="W260" s="94"/>
    </row>
    <row r="261" spans="1:23">
      <c r="A261" s="95"/>
      <c r="B261" s="95"/>
      <c r="C261" s="95"/>
      <c r="D261" s="94"/>
      <c r="E261" s="94"/>
      <c r="F261" s="94"/>
      <c r="G261" s="94"/>
      <c r="H261" s="94"/>
      <c r="I261" s="94"/>
      <c r="J261" s="94"/>
      <c r="K261" s="94"/>
      <c r="L261" s="94"/>
      <c r="M261" s="94"/>
      <c r="N261" s="94"/>
      <c r="O261" s="94"/>
      <c r="P261" s="94"/>
      <c r="Q261" s="94"/>
      <c r="R261" s="94"/>
      <c r="S261" s="94"/>
      <c r="T261" s="94"/>
      <c r="U261" s="94"/>
      <c r="V261" s="94"/>
      <c r="W261" s="94"/>
    </row>
    <row r="262" spans="1:23">
      <c r="A262" s="97" t="s">
        <v>326</v>
      </c>
      <c r="B262" s="97"/>
      <c r="C262" s="115"/>
      <c r="D262" s="115">
        <f>SUM(D197:D258)+D259-D260</f>
        <v>0</v>
      </c>
      <c r="E262" s="115">
        <f t="shared" ref="E262:J262" si="69">SUM(E197:E258)+E259-E260</f>
        <v>0</v>
      </c>
      <c r="F262" s="115">
        <f t="shared" si="69"/>
        <v>0</v>
      </c>
      <c r="G262" s="115">
        <f t="shared" si="69"/>
        <v>0</v>
      </c>
      <c r="H262" s="115">
        <f t="shared" si="69"/>
        <v>0</v>
      </c>
      <c r="I262" s="115">
        <f t="shared" si="69"/>
        <v>0</v>
      </c>
      <c r="J262" s="115">
        <f t="shared" si="69"/>
        <v>0</v>
      </c>
      <c r="K262" s="94"/>
      <c r="L262" s="94"/>
      <c r="M262" s="94"/>
      <c r="N262" s="94"/>
      <c r="O262" s="94"/>
      <c r="P262" s="94"/>
      <c r="Q262" s="94"/>
      <c r="R262" s="94"/>
      <c r="S262" s="94"/>
      <c r="T262" s="94"/>
      <c r="U262" s="94"/>
      <c r="V262" s="94"/>
      <c r="W262" s="94"/>
    </row>
    <row r="263" spans="1:23">
      <c r="A263" s="95"/>
      <c r="B263" s="95"/>
      <c r="C263" s="96"/>
      <c r="D263" s="96"/>
      <c r="E263" s="96"/>
      <c r="F263" s="96"/>
      <c r="G263" s="96"/>
      <c r="H263" s="96"/>
      <c r="I263" s="96"/>
      <c r="J263" s="96"/>
      <c r="K263" s="94"/>
      <c r="L263" s="94"/>
      <c r="M263" s="94"/>
      <c r="N263" s="94"/>
      <c r="O263" s="94"/>
      <c r="P263" s="94"/>
      <c r="Q263" s="94"/>
      <c r="R263" s="94"/>
      <c r="S263" s="94"/>
      <c r="T263" s="94"/>
      <c r="U263" s="94"/>
      <c r="V263" s="94"/>
      <c r="W263" s="94"/>
    </row>
    <row r="264" spans="1:23">
      <c r="A264" s="97" t="s">
        <v>314</v>
      </c>
      <c r="B264" s="97"/>
      <c r="C264" s="96"/>
      <c r="D264" s="96"/>
      <c r="E264" s="96"/>
      <c r="F264" s="96"/>
      <c r="G264" s="96"/>
      <c r="H264" s="96"/>
      <c r="I264" s="96"/>
      <c r="J264" s="96"/>
      <c r="K264" s="94"/>
      <c r="L264" s="94"/>
      <c r="M264" s="94"/>
      <c r="N264" s="94"/>
      <c r="O264" s="94"/>
      <c r="P264" s="94"/>
      <c r="Q264" s="94"/>
      <c r="R264" s="94"/>
      <c r="S264" s="94"/>
      <c r="T264" s="94"/>
      <c r="U264" s="94"/>
      <c r="V264" s="94"/>
      <c r="W264" s="94"/>
    </row>
    <row r="265" spans="1:23">
      <c r="A265" s="95" t="s">
        <v>331</v>
      </c>
      <c r="B265" s="95">
        <v>12</v>
      </c>
      <c r="C265" s="257">
        <v>0</v>
      </c>
      <c r="D265" s="96">
        <f t="shared" ref="D265:J265" si="70">$B$265*$C$265*D124</f>
        <v>0</v>
      </c>
      <c r="E265" s="96">
        <f t="shared" si="70"/>
        <v>0</v>
      </c>
      <c r="F265" s="96">
        <f t="shared" si="70"/>
        <v>0</v>
      </c>
      <c r="G265" s="96">
        <f t="shared" si="70"/>
        <v>0</v>
      </c>
      <c r="H265" s="96">
        <f t="shared" si="70"/>
        <v>0</v>
      </c>
      <c r="I265" s="96">
        <f t="shared" si="70"/>
        <v>0</v>
      </c>
      <c r="J265" s="96">
        <f t="shared" si="70"/>
        <v>0</v>
      </c>
      <c r="K265" s="94"/>
      <c r="L265" s="94"/>
      <c r="M265" s="94"/>
      <c r="N265" s="94"/>
      <c r="O265" s="94"/>
      <c r="P265" s="94"/>
      <c r="Q265" s="94"/>
      <c r="R265" s="94"/>
      <c r="S265" s="94"/>
      <c r="T265" s="94"/>
      <c r="U265" s="94"/>
      <c r="V265" s="94"/>
      <c r="W265" s="94"/>
    </row>
    <row r="266" spans="1:23">
      <c r="A266" s="95" t="s">
        <v>332</v>
      </c>
      <c r="B266" s="233">
        <v>1</v>
      </c>
      <c r="C266" s="257">
        <v>0</v>
      </c>
      <c r="D266" s="96">
        <f t="shared" ref="D266:J266" si="71">$B$266*$C$266*12*D124</f>
        <v>0</v>
      </c>
      <c r="E266" s="96">
        <f t="shared" si="71"/>
        <v>0</v>
      </c>
      <c r="F266" s="96">
        <f t="shared" si="71"/>
        <v>0</v>
      </c>
      <c r="G266" s="96">
        <f t="shared" si="71"/>
        <v>0</v>
      </c>
      <c r="H266" s="96">
        <f t="shared" si="71"/>
        <v>0</v>
      </c>
      <c r="I266" s="96">
        <f t="shared" si="71"/>
        <v>0</v>
      </c>
      <c r="J266" s="96">
        <f t="shared" si="71"/>
        <v>0</v>
      </c>
      <c r="K266" s="94"/>
      <c r="L266" s="94"/>
      <c r="M266" s="94"/>
      <c r="N266" s="94"/>
      <c r="O266" s="94"/>
      <c r="P266" s="94"/>
      <c r="Q266" s="94"/>
      <c r="R266" s="94"/>
      <c r="S266" s="94"/>
      <c r="T266" s="94"/>
      <c r="U266" s="94"/>
      <c r="V266" s="94"/>
      <c r="W266" s="94"/>
    </row>
    <row r="267" spans="1:23">
      <c r="A267" s="95" t="s">
        <v>195</v>
      </c>
      <c r="B267" s="233">
        <v>5</v>
      </c>
      <c r="C267" s="257">
        <v>0</v>
      </c>
      <c r="D267" s="96">
        <f t="shared" ref="D267:J267" si="72">$B$267*$C$267*12*D124</f>
        <v>0</v>
      </c>
      <c r="E267" s="96">
        <f t="shared" si="72"/>
        <v>0</v>
      </c>
      <c r="F267" s="96">
        <f t="shared" si="72"/>
        <v>0</v>
      </c>
      <c r="G267" s="96">
        <f t="shared" si="72"/>
        <v>0</v>
      </c>
      <c r="H267" s="96">
        <f t="shared" si="72"/>
        <v>0</v>
      </c>
      <c r="I267" s="96">
        <f t="shared" si="72"/>
        <v>0</v>
      </c>
      <c r="J267" s="96">
        <f t="shared" si="72"/>
        <v>0</v>
      </c>
      <c r="K267" s="94"/>
      <c r="L267" s="94"/>
      <c r="M267" s="94"/>
      <c r="N267" s="94"/>
      <c r="O267" s="94"/>
      <c r="P267" s="94"/>
      <c r="Q267" s="94"/>
      <c r="R267" s="94"/>
      <c r="S267" s="94"/>
      <c r="T267" s="94"/>
      <c r="U267" s="94"/>
      <c r="V267" s="94"/>
      <c r="W267" s="94"/>
    </row>
    <row r="268" spans="1:23">
      <c r="A268" s="95" t="s">
        <v>333</v>
      </c>
      <c r="B268" s="95">
        <v>12</v>
      </c>
      <c r="C268" s="257">
        <v>0</v>
      </c>
      <c r="D268" s="96">
        <f t="shared" ref="D268:J268" si="73">$B$268*$C$268*D124</f>
        <v>0</v>
      </c>
      <c r="E268" s="96">
        <f t="shared" si="73"/>
        <v>0</v>
      </c>
      <c r="F268" s="96">
        <f t="shared" si="73"/>
        <v>0</v>
      </c>
      <c r="G268" s="96">
        <f t="shared" si="73"/>
        <v>0</v>
      </c>
      <c r="H268" s="96">
        <f t="shared" si="73"/>
        <v>0</v>
      </c>
      <c r="I268" s="96">
        <f t="shared" si="73"/>
        <v>0</v>
      </c>
      <c r="J268" s="96">
        <f t="shared" si="73"/>
        <v>0</v>
      </c>
      <c r="K268" s="94"/>
      <c r="L268" s="94"/>
      <c r="M268" s="94"/>
      <c r="N268" s="94"/>
      <c r="O268" s="94"/>
      <c r="P268" s="94"/>
      <c r="Q268" s="94"/>
      <c r="R268" s="94"/>
      <c r="S268" s="94"/>
      <c r="T268" s="94"/>
      <c r="U268" s="94"/>
      <c r="V268" s="94"/>
      <c r="W268" s="94"/>
    </row>
    <row r="269" spans="1:23">
      <c r="A269" s="95"/>
      <c r="B269" s="95"/>
      <c r="C269" s="257">
        <v>0</v>
      </c>
      <c r="D269" s="96"/>
      <c r="E269" s="96"/>
      <c r="F269" s="96"/>
      <c r="G269" s="96"/>
      <c r="H269" s="96"/>
      <c r="I269" s="96"/>
      <c r="J269" s="96"/>
      <c r="K269" s="94"/>
      <c r="L269" s="94"/>
      <c r="M269" s="94"/>
      <c r="N269" s="94"/>
      <c r="O269" s="94"/>
      <c r="P269" s="94"/>
      <c r="Q269" s="94"/>
      <c r="R269" s="94"/>
      <c r="S269" s="94"/>
      <c r="T269" s="94"/>
      <c r="U269" s="94"/>
      <c r="V269" s="94"/>
      <c r="W269" s="94"/>
    </row>
    <row r="270" spans="1:23">
      <c r="A270" s="95"/>
      <c r="B270" s="95"/>
      <c r="C270" s="257"/>
      <c r="D270" s="96"/>
      <c r="E270" s="96"/>
      <c r="F270" s="96"/>
      <c r="G270" s="96"/>
      <c r="H270" s="96"/>
      <c r="I270" s="96"/>
      <c r="J270" s="96"/>
      <c r="K270" s="94"/>
      <c r="L270" s="94"/>
      <c r="M270" s="94"/>
      <c r="N270" s="94"/>
      <c r="O270" s="94"/>
      <c r="P270" s="94"/>
      <c r="Q270" s="94"/>
      <c r="R270" s="94"/>
      <c r="S270" s="94"/>
      <c r="T270" s="94"/>
      <c r="U270" s="94"/>
      <c r="V270" s="94"/>
      <c r="W270" s="94"/>
    </row>
    <row r="271" spans="1:23">
      <c r="A271" s="95"/>
      <c r="B271" s="95"/>
      <c r="C271" s="257"/>
      <c r="D271" s="96"/>
      <c r="E271" s="96"/>
      <c r="F271" s="96"/>
      <c r="G271" s="96"/>
      <c r="H271" s="96"/>
      <c r="I271" s="96"/>
      <c r="J271" s="96"/>
      <c r="K271" s="94"/>
      <c r="L271" s="94"/>
      <c r="M271" s="94"/>
      <c r="N271" s="94"/>
      <c r="O271" s="94"/>
      <c r="P271" s="94"/>
      <c r="Q271" s="94"/>
      <c r="R271" s="94"/>
      <c r="S271" s="94"/>
      <c r="T271" s="94"/>
      <c r="U271" s="94"/>
      <c r="V271" s="94"/>
      <c r="W271" s="94"/>
    </row>
    <row r="272" spans="1:23">
      <c r="A272" s="95"/>
      <c r="B272" s="95"/>
      <c r="C272" s="257"/>
      <c r="D272" s="96"/>
      <c r="E272" s="96"/>
      <c r="F272" s="96"/>
      <c r="G272" s="96"/>
      <c r="H272" s="96"/>
      <c r="I272" s="96"/>
      <c r="J272" s="96"/>
      <c r="K272" s="94"/>
      <c r="L272" s="94"/>
      <c r="M272" s="94"/>
      <c r="N272" s="94"/>
      <c r="O272" s="94"/>
      <c r="P272" s="94"/>
      <c r="Q272" s="94"/>
      <c r="R272" s="94"/>
      <c r="S272" s="94"/>
      <c r="T272" s="94"/>
      <c r="U272" s="94"/>
      <c r="V272" s="94"/>
      <c r="W272" s="94"/>
    </row>
    <row r="273" spans="1:23">
      <c r="A273" s="97" t="s">
        <v>330</v>
      </c>
      <c r="B273" s="97"/>
      <c r="C273" s="115"/>
      <c r="D273" s="115">
        <f>SUM(D265:D272)</f>
        <v>0</v>
      </c>
      <c r="E273" s="115">
        <f t="shared" ref="E273:J273" si="74">SUM(E265:E272)</f>
        <v>0</v>
      </c>
      <c r="F273" s="115">
        <f t="shared" si="74"/>
        <v>0</v>
      </c>
      <c r="G273" s="115">
        <f t="shared" si="74"/>
        <v>0</v>
      </c>
      <c r="H273" s="115">
        <f t="shared" si="74"/>
        <v>0</v>
      </c>
      <c r="I273" s="115">
        <f t="shared" si="74"/>
        <v>0</v>
      </c>
      <c r="J273" s="115">
        <f t="shared" si="74"/>
        <v>0</v>
      </c>
      <c r="K273" s="94"/>
      <c r="L273" s="94"/>
      <c r="M273" s="94"/>
      <c r="N273" s="94"/>
      <c r="O273" s="94"/>
      <c r="P273" s="94"/>
      <c r="Q273" s="94"/>
      <c r="R273" s="94"/>
      <c r="S273" s="94"/>
      <c r="T273" s="94"/>
      <c r="U273" s="94"/>
      <c r="V273" s="94"/>
      <c r="W273" s="94"/>
    </row>
    <row r="274" spans="1:23">
      <c r="A274" s="196" t="s">
        <v>136</v>
      </c>
      <c r="B274" s="196"/>
      <c r="C274" s="209"/>
      <c r="D274" s="115">
        <f t="shared" ref="D274:J274" si="75">D262+D273</f>
        <v>0</v>
      </c>
      <c r="E274" s="115">
        <f t="shared" si="75"/>
        <v>0</v>
      </c>
      <c r="F274" s="115">
        <f t="shared" si="75"/>
        <v>0</v>
      </c>
      <c r="G274" s="115">
        <f t="shared" si="75"/>
        <v>0</v>
      </c>
      <c r="H274" s="115">
        <f t="shared" si="75"/>
        <v>0</v>
      </c>
      <c r="I274" s="115">
        <f t="shared" si="75"/>
        <v>0</v>
      </c>
      <c r="J274" s="115">
        <f t="shared" si="75"/>
        <v>0</v>
      </c>
      <c r="K274" s="94"/>
      <c r="L274" s="94"/>
      <c r="M274" s="94"/>
      <c r="N274" s="94"/>
      <c r="O274" s="94"/>
      <c r="P274" s="94"/>
      <c r="Q274" s="94"/>
      <c r="R274" s="94"/>
      <c r="S274" s="94"/>
      <c r="T274" s="94"/>
      <c r="U274" s="94"/>
      <c r="V274" s="94"/>
      <c r="W274" s="94"/>
    </row>
    <row r="275" spans="1:23">
      <c r="A275" s="95"/>
      <c r="B275" s="95"/>
      <c r="C275" s="96"/>
      <c r="D275" s="96"/>
      <c r="E275" s="96"/>
      <c r="F275" s="96"/>
      <c r="G275" s="96"/>
      <c r="H275" s="96"/>
      <c r="I275" s="96"/>
      <c r="J275" s="96"/>
      <c r="K275" s="94"/>
      <c r="L275" s="94"/>
      <c r="M275" s="94"/>
      <c r="N275" s="94"/>
      <c r="O275" s="94"/>
      <c r="P275" s="94"/>
      <c r="Q275" s="94"/>
      <c r="R275" s="94"/>
      <c r="S275" s="94"/>
      <c r="T275" s="94"/>
      <c r="U275" s="94"/>
      <c r="V275" s="94"/>
      <c r="W275" s="94"/>
    </row>
    <row r="276" spans="1:23">
      <c r="A276" s="196" t="s">
        <v>7</v>
      </c>
      <c r="B276" s="196"/>
      <c r="C276" s="209"/>
      <c r="D276" s="115">
        <f t="shared" ref="D276:J276" si="76">D191-D274</f>
        <v>0</v>
      </c>
      <c r="E276" s="115">
        <f t="shared" si="76"/>
        <v>0</v>
      </c>
      <c r="F276" s="115">
        <f t="shared" si="76"/>
        <v>0</v>
      </c>
      <c r="G276" s="115">
        <f t="shared" si="76"/>
        <v>0</v>
      </c>
      <c r="H276" s="115">
        <f t="shared" si="76"/>
        <v>0</v>
      </c>
      <c r="I276" s="115">
        <f t="shared" si="76"/>
        <v>0</v>
      </c>
      <c r="J276" s="115">
        <f t="shared" si="76"/>
        <v>0</v>
      </c>
      <c r="K276" s="94"/>
      <c r="L276" s="94"/>
      <c r="M276" s="94"/>
      <c r="N276" s="94"/>
      <c r="O276" s="94"/>
      <c r="P276" s="94"/>
      <c r="Q276" s="94"/>
      <c r="R276" s="94"/>
      <c r="S276" s="94"/>
      <c r="T276" s="94"/>
      <c r="U276" s="94"/>
      <c r="V276" s="94"/>
      <c r="W276" s="94"/>
    </row>
    <row r="277" spans="1:23">
      <c r="A277" s="116"/>
      <c r="B277" s="116"/>
      <c r="C277" s="116"/>
      <c r="D277" s="94"/>
      <c r="E277" s="94"/>
      <c r="F277" s="94"/>
      <c r="G277" s="94"/>
      <c r="H277" s="94"/>
      <c r="I277" s="94"/>
      <c r="J277" s="94"/>
      <c r="K277" s="94"/>
      <c r="L277" s="94"/>
      <c r="M277" s="94"/>
      <c r="N277" s="94"/>
      <c r="O277" s="94"/>
      <c r="P277" s="94"/>
      <c r="Q277" s="94"/>
      <c r="R277" s="94"/>
      <c r="S277" s="94"/>
      <c r="T277" s="94"/>
      <c r="U277" s="94"/>
      <c r="V277" s="94"/>
      <c r="W277" s="94"/>
    </row>
    <row r="278" spans="1:23">
      <c r="A278" s="94"/>
      <c r="B278" s="94"/>
      <c r="C278" s="94"/>
      <c r="D278" s="94"/>
      <c r="E278" s="94"/>
      <c r="F278" s="94"/>
      <c r="G278" s="94"/>
      <c r="H278" s="94"/>
      <c r="I278" s="94"/>
      <c r="J278" s="94"/>
      <c r="K278" s="94"/>
      <c r="L278" s="94"/>
      <c r="M278" s="94"/>
      <c r="N278" s="94"/>
      <c r="O278" s="94"/>
      <c r="P278" s="94"/>
      <c r="Q278" s="94"/>
      <c r="R278" s="94"/>
      <c r="S278" s="94"/>
      <c r="T278" s="94"/>
      <c r="U278" s="94"/>
      <c r="V278" s="94"/>
      <c r="W278" s="94"/>
    </row>
    <row r="279" spans="1:23">
      <c r="A279" s="418" t="s">
        <v>429</v>
      </c>
      <c r="B279" s="418"/>
      <c r="C279" s="418"/>
      <c r="D279" s="418"/>
      <c r="E279" s="418"/>
      <c r="F279" s="418"/>
      <c r="G279" s="418"/>
      <c r="H279" s="418"/>
      <c r="I279" s="418"/>
      <c r="J279" s="418"/>
    </row>
    <row r="281" spans="1:23">
      <c r="A281" t="s">
        <v>546</v>
      </c>
    </row>
    <row r="282" spans="1:23">
      <c r="A282">
        <v>1</v>
      </c>
      <c r="B282" t="s">
        <v>559</v>
      </c>
    </row>
    <row r="283" spans="1:23">
      <c r="A283">
        <v>2</v>
      </c>
      <c r="B283" t="s">
        <v>560</v>
      </c>
    </row>
    <row r="284" spans="1:23">
      <c r="A284">
        <v>3</v>
      </c>
      <c r="B284" s="94" t="s">
        <v>610</v>
      </c>
    </row>
  </sheetData>
  <mergeCells count="3">
    <mergeCell ref="A122:J122"/>
    <mergeCell ref="A2:I2"/>
    <mergeCell ref="A279:J279"/>
  </mergeCells>
  <pageMargins left="0.7" right="0.7" top="0.75" bottom="0.75" header="0.3" footer="0.3"/>
  <pageSetup scale="73" orientation="landscape" r:id="rId1"/>
  <colBreaks count="1" manualBreakCount="1">
    <brk id="10"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J197"/>
  <sheetViews>
    <sheetView view="pageBreakPreview" topLeftCell="A4" zoomScale="55" zoomScaleSheetLayoutView="55" workbookViewId="0"/>
  </sheetViews>
  <sheetFormatPr defaultRowHeight="15"/>
  <cols>
    <col min="1" max="1" width="41.7109375" bestFit="1" customWidth="1"/>
    <col min="2" max="2" width="11.5703125" bestFit="1" customWidth="1"/>
    <col min="3" max="3" width="12.5703125" bestFit="1" customWidth="1"/>
    <col min="4" max="4" width="15.140625" customWidth="1"/>
    <col min="5" max="8" width="17.28515625" customWidth="1"/>
    <col min="9" max="10" width="16.85546875" bestFit="1" customWidth="1"/>
  </cols>
  <sheetData>
    <row r="3" spans="1:8" ht="18.75">
      <c r="A3" s="417" t="s">
        <v>605</v>
      </c>
      <c r="B3" s="417"/>
      <c r="C3" s="417"/>
      <c r="D3" s="417"/>
      <c r="E3" s="417"/>
      <c r="F3" s="417"/>
      <c r="G3" s="417"/>
      <c r="H3" s="417"/>
    </row>
    <row r="4" spans="1:8" ht="18.75">
      <c r="A4" s="417" t="s">
        <v>606</v>
      </c>
      <c r="B4" s="417"/>
      <c r="C4" s="417"/>
      <c r="D4" s="417"/>
      <c r="E4" s="417"/>
      <c r="F4" s="417"/>
      <c r="G4" s="417"/>
      <c r="H4" s="417"/>
    </row>
    <row r="5" spans="1:8">
      <c r="A5" s="94" t="s">
        <v>163</v>
      </c>
      <c r="B5" s="250">
        <v>1</v>
      </c>
      <c r="C5" s="94" t="s">
        <v>478</v>
      </c>
      <c r="D5" s="94"/>
      <c r="E5" s="94"/>
      <c r="F5" s="94"/>
      <c r="G5" s="94"/>
      <c r="H5" s="94"/>
    </row>
    <row r="6" spans="1:8">
      <c r="A6" s="94" t="s">
        <v>164</v>
      </c>
      <c r="B6" s="283">
        <v>8</v>
      </c>
      <c r="C6" s="94"/>
      <c r="D6" s="94"/>
      <c r="E6" s="94"/>
      <c r="F6" s="94"/>
      <c r="G6" s="94"/>
      <c r="H6" s="94"/>
    </row>
    <row r="7" spans="1:8">
      <c r="A7" s="94"/>
      <c r="B7" s="283"/>
      <c r="C7" s="94"/>
      <c r="D7" s="94"/>
      <c r="E7" s="94"/>
      <c r="F7" s="94"/>
      <c r="G7" s="94"/>
      <c r="H7" s="94"/>
    </row>
    <row r="8" spans="1:8">
      <c r="A8" s="94"/>
      <c r="B8" s="283"/>
      <c r="C8" s="94"/>
      <c r="D8" s="94"/>
      <c r="E8" s="94"/>
      <c r="F8" s="94"/>
      <c r="G8" s="94"/>
      <c r="H8" s="94"/>
    </row>
    <row r="9" spans="1:8">
      <c r="A9" s="94"/>
      <c r="B9" s="94"/>
      <c r="C9" s="94"/>
      <c r="D9" s="94"/>
      <c r="E9" s="94"/>
      <c r="F9" s="94"/>
      <c r="G9" s="94"/>
      <c r="H9" s="94"/>
    </row>
    <row r="10" spans="1:8">
      <c r="A10" s="94"/>
      <c r="B10" s="94"/>
      <c r="C10" s="94"/>
      <c r="D10" s="94"/>
      <c r="E10" s="94"/>
      <c r="F10" s="94"/>
      <c r="G10" s="94"/>
      <c r="H10" s="94"/>
    </row>
    <row r="11" spans="1:8">
      <c r="A11" s="82" t="s">
        <v>0</v>
      </c>
      <c r="B11" s="83" t="s">
        <v>2</v>
      </c>
      <c r="C11" s="83" t="s">
        <v>3</v>
      </c>
      <c r="D11" s="83" t="s">
        <v>4</v>
      </c>
      <c r="E11" s="83" t="s">
        <v>5</v>
      </c>
      <c r="F11" s="83" t="s">
        <v>6</v>
      </c>
      <c r="G11" s="83" t="s">
        <v>171</v>
      </c>
      <c r="H11" s="83" t="s">
        <v>170</v>
      </c>
    </row>
    <row r="12" spans="1:8">
      <c r="A12" s="95" t="s">
        <v>172</v>
      </c>
      <c r="B12" s="317">
        <f t="shared" ref="B12:H12" si="0">B39/($B$5*$B$6)</f>
        <v>0</v>
      </c>
      <c r="C12" s="317">
        <f t="shared" si="0"/>
        <v>0</v>
      </c>
      <c r="D12" s="317">
        <f t="shared" si="0"/>
        <v>0</v>
      </c>
      <c r="E12" s="317">
        <f t="shared" si="0"/>
        <v>0</v>
      </c>
      <c r="F12" s="317">
        <f t="shared" si="0"/>
        <v>0</v>
      </c>
      <c r="G12" s="317">
        <f t="shared" si="0"/>
        <v>0</v>
      </c>
      <c r="H12" s="317">
        <f t="shared" si="0"/>
        <v>0</v>
      </c>
    </row>
    <row r="13" spans="1:8">
      <c r="A13" s="95" t="str">
        <f>'11.F&amp;V Crop Production details'!A74</f>
        <v>Onion</v>
      </c>
      <c r="B13" s="95">
        <f>'11.F&amp;V Crop Production details'!B74</f>
        <v>0</v>
      </c>
      <c r="C13" s="95">
        <f>'11.F&amp;V Crop Production details'!C74</f>
        <v>0</v>
      </c>
      <c r="D13" s="95">
        <f>'11.F&amp;V Crop Production details'!D74</f>
        <v>0</v>
      </c>
      <c r="E13" s="95">
        <f>'11.F&amp;V Crop Production details'!E74</f>
        <v>0</v>
      </c>
      <c r="F13" s="95">
        <f>'11.F&amp;V Crop Production details'!F74</f>
        <v>0</v>
      </c>
      <c r="G13" s="95">
        <f>'11.F&amp;V Crop Production details'!G74</f>
        <v>0</v>
      </c>
      <c r="H13" s="95">
        <f>'11.F&amp;V Crop Production details'!H74</f>
        <v>0</v>
      </c>
    </row>
    <row r="14" spans="1:8">
      <c r="A14" s="95" t="str">
        <f>'11.F&amp;V Crop Production details'!A75</f>
        <v>Tomato</v>
      </c>
      <c r="B14" s="95">
        <f>'11.F&amp;V Crop Production details'!B75</f>
        <v>0</v>
      </c>
      <c r="C14" s="95">
        <f>'11.F&amp;V Crop Production details'!C75</f>
        <v>0</v>
      </c>
      <c r="D14" s="95">
        <f>'11.F&amp;V Crop Production details'!D75</f>
        <v>0</v>
      </c>
      <c r="E14" s="95">
        <f>'11.F&amp;V Crop Production details'!E75</f>
        <v>0</v>
      </c>
      <c r="F14" s="95">
        <f>'11.F&amp;V Crop Production details'!F75</f>
        <v>0</v>
      </c>
      <c r="G14" s="95">
        <f>'11.F&amp;V Crop Production details'!G75</f>
        <v>0</v>
      </c>
      <c r="H14" s="95">
        <f>'11.F&amp;V Crop Production details'!H75</f>
        <v>0</v>
      </c>
    </row>
    <row r="15" spans="1:8">
      <c r="A15" s="95" t="str">
        <f>'11.F&amp;V Crop Production details'!A76</f>
        <v>Okra</v>
      </c>
      <c r="B15" s="95">
        <f>'11.F&amp;V Crop Production details'!B76</f>
        <v>0</v>
      </c>
      <c r="C15" s="95">
        <f>'11.F&amp;V Crop Production details'!C76</f>
        <v>0</v>
      </c>
      <c r="D15" s="95">
        <f>'11.F&amp;V Crop Production details'!D76</f>
        <v>0</v>
      </c>
      <c r="E15" s="95">
        <f>'11.F&amp;V Crop Production details'!E76</f>
        <v>0</v>
      </c>
      <c r="F15" s="95">
        <f>'11.F&amp;V Crop Production details'!F76</f>
        <v>0</v>
      </c>
      <c r="G15" s="95">
        <f>'11.F&amp;V Crop Production details'!G76</f>
        <v>0</v>
      </c>
      <c r="H15" s="95">
        <f>'11.F&amp;V Crop Production details'!H76</f>
        <v>0</v>
      </c>
    </row>
    <row r="16" spans="1:8">
      <c r="A16" s="95" t="str">
        <f>'11.F&amp;V Crop Production details'!A77</f>
        <v>Chilli</v>
      </c>
      <c r="B16" s="95">
        <f>'11.F&amp;V Crop Production details'!B77</f>
        <v>0</v>
      </c>
      <c r="C16" s="95">
        <f>'11.F&amp;V Crop Production details'!C77</f>
        <v>0</v>
      </c>
      <c r="D16" s="95">
        <f>'11.F&amp;V Crop Production details'!D77</f>
        <v>0</v>
      </c>
      <c r="E16" s="95">
        <f>'11.F&amp;V Crop Production details'!E77</f>
        <v>0</v>
      </c>
      <c r="F16" s="95">
        <f>'11.F&amp;V Crop Production details'!F77</f>
        <v>0</v>
      </c>
      <c r="G16" s="95">
        <f>'11.F&amp;V Crop Production details'!G77</f>
        <v>0</v>
      </c>
      <c r="H16" s="95">
        <f>'11.F&amp;V Crop Production details'!H77</f>
        <v>0</v>
      </c>
    </row>
    <row r="17" spans="1:8">
      <c r="A17" s="95" t="str">
        <f>'11.F&amp;V Crop Production details'!A78</f>
        <v>Potato</v>
      </c>
      <c r="B17" s="95">
        <f>'11.F&amp;V Crop Production details'!B78</f>
        <v>0</v>
      </c>
      <c r="C17" s="95">
        <f>'11.F&amp;V Crop Production details'!C78</f>
        <v>0</v>
      </c>
      <c r="D17" s="95">
        <f>'11.F&amp;V Crop Production details'!D78</f>
        <v>0</v>
      </c>
      <c r="E17" s="95">
        <f>'11.F&amp;V Crop Production details'!E78</f>
        <v>0</v>
      </c>
      <c r="F17" s="95">
        <f>'11.F&amp;V Crop Production details'!F78</f>
        <v>0</v>
      </c>
      <c r="G17" s="95">
        <f>'11.F&amp;V Crop Production details'!G78</f>
        <v>0</v>
      </c>
      <c r="H17" s="95">
        <f>'11.F&amp;V Crop Production details'!H78</f>
        <v>0</v>
      </c>
    </row>
    <row r="18" spans="1:8">
      <c r="A18" s="95">
        <f>'11.F&amp;V Crop Production details'!A79</f>
        <v>0</v>
      </c>
      <c r="B18" s="95">
        <f>'11.F&amp;V Crop Production details'!B79</f>
        <v>0</v>
      </c>
      <c r="C18" s="95">
        <f>'11.F&amp;V Crop Production details'!C79</f>
        <v>0</v>
      </c>
      <c r="D18" s="95">
        <f>'11.F&amp;V Crop Production details'!D79</f>
        <v>0</v>
      </c>
      <c r="E18" s="95">
        <f>'11.F&amp;V Crop Production details'!E79</f>
        <v>0</v>
      </c>
      <c r="F18" s="95">
        <f>'11.F&amp;V Crop Production details'!F79</f>
        <v>0</v>
      </c>
      <c r="G18" s="95">
        <f>'11.F&amp;V Crop Production details'!G79</f>
        <v>0</v>
      </c>
      <c r="H18" s="95">
        <f>'11.F&amp;V Crop Production details'!H79</f>
        <v>0</v>
      </c>
    </row>
    <row r="19" spans="1:8">
      <c r="A19" s="95">
        <f>'11.F&amp;V Crop Production details'!A80</f>
        <v>0</v>
      </c>
      <c r="B19" s="95">
        <f>'11.F&amp;V Crop Production details'!B80</f>
        <v>0</v>
      </c>
      <c r="C19" s="95">
        <f>'11.F&amp;V Crop Production details'!C80</f>
        <v>0</v>
      </c>
      <c r="D19" s="95">
        <f>'11.F&amp;V Crop Production details'!D80</f>
        <v>0</v>
      </c>
      <c r="E19" s="95">
        <f>'11.F&amp;V Crop Production details'!E80</f>
        <v>0</v>
      </c>
      <c r="F19" s="95">
        <f>'11.F&amp;V Crop Production details'!F80</f>
        <v>0</v>
      </c>
      <c r="G19" s="95">
        <f>'11.F&amp;V Crop Production details'!G80</f>
        <v>0</v>
      </c>
      <c r="H19" s="95">
        <f>'11.F&amp;V Crop Production details'!H80</f>
        <v>0</v>
      </c>
    </row>
    <row r="20" spans="1:8">
      <c r="A20" s="95">
        <f>'11.F&amp;V Crop Production details'!A81</f>
        <v>0</v>
      </c>
      <c r="B20" s="95">
        <f>'11.F&amp;V Crop Production details'!B81</f>
        <v>0</v>
      </c>
      <c r="C20" s="95">
        <f>'11.F&amp;V Crop Production details'!C81</f>
        <v>0</v>
      </c>
      <c r="D20" s="95">
        <f>'11.F&amp;V Crop Production details'!D81</f>
        <v>0</v>
      </c>
      <c r="E20" s="95">
        <f>'11.F&amp;V Crop Production details'!E81</f>
        <v>0</v>
      </c>
      <c r="F20" s="95">
        <f>'11.F&amp;V Crop Production details'!F81</f>
        <v>0</v>
      </c>
      <c r="G20" s="95">
        <f>'11.F&amp;V Crop Production details'!G81</f>
        <v>0</v>
      </c>
      <c r="H20" s="95">
        <f>'11.F&amp;V Crop Production details'!H81</f>
        <v>0</v>
      </c>
    </row>
    <row r="21" spans="1:8">
      <c r="A21" s="95">
        <f>'11.F&amp;V Crop Production details'!A82</f>
        <v>0</v>
      </c>
      <c r="B21" s="95">
        <f>'11.F&amp;V Crop Production details'!B82</f>
        <v>0</v>
      </c>
      <c r="C21" s="95">
        <f>'11.F&amp;V Crop Production details'!C82</f>
        <v>0</v>
      </c>
      <c r="D21" s="95">
        <f>'11.F&amp;V Crop Production details'!D82</f>
        <v>0</v>
      </c>
      <c r="E21" s="95">
        <f>'11.F&amp;V Crop Production details'!E82</f>
        <v>0</v>
      </c>
      <c r="F21" s="95">
        <f>'11.F&amp;V Crop Production details'!F82</f>
        <v>0</v>
      </c>
      <c r="G21" s="95">
        <f>'11.F&amp;V Crop Production details'!G82</f>
        <v>0</v>
      </c>
      <c r="H21" s="95">
        <f>'11.F&amp;V Crop Production details'!H82</f>
        <v>0</v>
      </c>
    </row>
    <row r="22" spans="1:8">
      <c r="A22" s="95" t="str">
        <f>'11.F&amp;V Crop Production details'!A83</f>
        <v>Onion</v>
      </c>
      <c r="B22" s="95">
        <f>'11.F&amp;V Crop Production details'!B83</f>
        <v>0</v>
      </c>
      <c r="C22" s="95">
        <f>'11.F&amp;V Crop Production details'!C83</f>
        <v>0</v>
      </c>
      <c r="D22" s="95">
        <f>'11.F&amp;V Crop Production details'!D83</f>
        <v>0</v>
      </c>
      <c r="E22" s="95">
        <f>'11.F&amp;V Crop Production details'!E83</f>
        <v>0</v>
      </c>
      <c r="F22" s="95">
        <f>'11.F&amp;V Crop Production details'!F83</f>
        <v>0</v>
      </c>
      <c r="G22" s="95">
        <f>'11.F&amp;V Crop Production details'!G83</f>
        <v>0</v>
      </c>
      <c r="H22" s="95">
        <f>'11.F&amp;V Crop Production details'!H83</f>
        <v>0</v>
      </c>
    </row>
    <row r="23" spans="1:8">
      <c r="A23" s="95" t="str">
        <f>'11.F&amp;V Crop Production details'!A84</f>
        <v>Tomato</v>
      </c>
      <c r="B23" s="95">
        <f>'11.F&amp;V Crop Production details'!B84</f>
        <v>0</v>
      </c>
      <c r="C23" s="95">
        <f>'11.F&amp;V Crop Production details'!C84</f>
        <v>0</v>
      </c>
      <c r="D23" s="95">
        <f>'11.F&amp;V Crop Production details'!D84</f>
        <v>0</v>
      </c>
      <c r="E23" s="95">
        <f>'11.F&amp;V Crop Production details'!E84</f>
        <v>0</v>
      </c>
      <c r="F23" s="95">
        <f>'11.F&amp;V Crop Production details'!F84</f>
        <v>0</v>
      </c>
      <c r="G23" s="95">
        <f>'11.F&amp;V Crop Production details'!G84</f>
        <v>0</v>
      </c>
      <c r="H23" s="95">
        <f>'11.F&amp;V Crop Production details'!H84</f>
        <v>0</v>
      </c>
    </row>
    <row r="24" spans="1:8">
      <c r="A24" s="95" t="str">
        <f>'11.F&amp;V Crop Production details'!A85</f>
        <v>Okra</v>
      </c>
      <c r="B24" s="95">
        <f>'11.F&amp;V Crop Production details'!B85</f>
        <v>0</v>
      </c>
      <c r="C24" s="95">
        <f>'11.F&amp;V Crop Production details'!C85</f>
        <v>0</v>
      </c>
      <c r="D24" s="95">
        <f>'11.F&amp;V Crop Production details'!D85</f>
        <v>0</v>
      </c>
      <c r="E24" s="95">
        <f>'11.F&amp;V Crop Production details'!E85</f>
        <v>0</v>
      </c>
      <c r="F24" s="95">
        <f>'11.F&amp;V Crop Production details'!F85</f>
        <v>0</v>
      </c>
      <c r="G24" s="95">
        <f>'11.F&amp;V Crop Production details'!G85</f>
        <v>0</v>
      </c>
      <c r="H24" s="95">
        <f>'11.F&amp;V Crop Production details'!H85</f>
        <v>0</v>
      </c>
    </row>
    <row r="25" spans="1:8">
      <c r="A25" s="95" t="str">
        <f>'11.F&amp;V Crop Production details'!A86</f>
        <v>Chilli</v>
      </c>
      <c r="B25" s="95">
        <f>'11.F&amp;V Crop Production details'!B86</f>
        <v>0</v>
      </c>
      <c r="C25" s="95">
        <f>'11.F&amp;V Crop Production details'!C86</f>
        <v>0</v>
      </c>
      <c r="D25" s="95">
        <f>'11.F&amp;V Crop Production details'!D86</f>
        <v>0</v>
      </c>
      <c r="E25" s="95">
        <f>'11.F&amp;V Crop Production details'!E86</f>
        <v>0</v>
      </c>
      <c r="F25" s="95">
        <f>'11.F&amp;V Crop Production details'!F86</f>
        <v>0</v>
      </c>
      <c r="G25" s="95">
        <f>'11.F&amp;V Crop Production details'!G86</f>
        <v>0</v>
      </c>
      <c r="H25" s="95">
        <f>'11.F&amp;V Crop Production details'!H86</f>
        <v>0</v>
      </c>
    </row>
    <row r="26" spans="1:8">
      <c r="A26" s="95" t="str">
        <f>'11.F&amp;V Crop Production details'!A87</f>
        <v>Brinjal</v>
      </c>
      <c r="B26" s="95">
        <f>'11.F&amp;V Crop Production details'!B87</f>
        <v>0</v>
      </c>
      <c r="C26" s="95">
        <f>'11.F&amp;V Crop Production details'!C87</f>
        <v>0</v>
      </c>
      <c r="D26" s="95">
        <f>'11.F&amp;V Crop Production details'!D87</f>
        <v>0</v>
      </c>
      <c r="E26" s="95">
        <f>'11.F&amp;V Crop Production details'!E87</f>
        <v>0</v>
      </c>
      <c r="F26" s="95">
        <f>'11.F&amp;V Crop Production details'!F87</f>
        <v>0</v>
      </c>
      <c r="G26" s="95">
        <f>'11.F&amp;V Crop Production details'!G87</f>
        <v>0</v>
      </c>
      <c r="H26" s="95">
        <f>'11.F&amp;V Crop Production details'!H87</f>
        <v>0</v>
      </c>
    </row>
    <row r="27" spans="1:8">
      <c r="A27" s="95">
        <f>'11.F&amp;V Crop Production details'!A88</f>
        <v>0</v>
      </c>
      <c r="B27" s="95">
        <f>'11.F&amp;V Crop Production details'!B88</f>
        <v>0</v>
      </c>
      <c r="C27" s="95">
        <f>'11.F&amp;V Crop Production details'!C88</f>
        <v>0</v>
      </c>
      <c r="D27" s="95">
        <f>'11.F&amp;V Crop Production details'!D88</f>
        <v>0</v>
      </c>
      <c r="E27" s="95">
        <f>'11.F&amp;V Crop Production details'!E88</f>
        <v>0</v>
      </c>
      <c r="F27" s="95">
        <f>'11.F&amp;V Crop Production details'!F88</f>
        <v>0</v>
      </c>
      <c r="G27" s="95">
        <f>'11.F&amp;V Crop Production details'!G88</f>
        <v>0</v>
      </c>
      <c r="H27" s="95">
        <f>'11.F&amp;V Crop Production details'!H88</f>
        <v>0</v>
      </c>
    </row>
    <row r="28" spans="1:8">
      <c r="A28" s="95">
        <f>'11.F&amp;V Crop Production details'!A89</f>
        <v>0</v>
      </c>
      <c r="B28" s="95">
        <f>'11.F&amp;V Crop Production details'!B89</f>
        <v>0</v>
      </c>
      <c r="C28" s="95">
        <f>'11.F&amp;V Crop Production details'!C89</f>
        <v>0</v>
      </c>
      <c r="D28" s="95">
        <f>'11.F&amp;V Crop Production details'!D89</f>
        <v>0</v>
      </c>
      <c r="E28" s="95">
        <f>'11.F&amp;V Crop Production details'!E89</f>
        <v>0</v>
      </c>
      <c r="F28" s="95">
        <f>'11.F&amp;V Crop Production details'!F89</f>
        <v>0</v>
      </c>
      <c r="G28" s="95">
        <f>'11.F&amp;V Crop Production details'!G89</f>
        <v>0</v>
      </c>
      <c r="H28" s="95">
        <f>'11.F&amp;V Crop Production details'!H89</f>
        <v>0</v>
      </c>
    </row>
    <row r="29" spans="1:8">
      <c r="A29" s="95">
        <f>'11.F&amp;V Crop Production details'!A90</f>
        <v>0</v>
      </c>
      <c r="B29" s="95">
        <f>'11.F&amp;V Crop Production details'!B90</f>
        <v>0</v>
      </c>
      <c r="C29" s="95">
        <f>'11.F&amp;V Crop Production details'!C90</f>
        <v>0</v>
      </c>
      <c r="D29" s="95">
        <f>'11.F&amp;V Crop Production details'!D90</f>
        <v>0</v>
      </c>
      <c r="E29" s="95">
        <f>'11.F&amp;V Crop Production details'!E90</f>
        <v>0</v>
      </c>
      <c r="F29" s="95">
        <f>'11.F&amp;V Crop Production details'!F90</f>
        <v>0</v>
      </c>
      <c r="G29" s="95">
        <f>'11.F&amp;V Crop Production details'!G90</f>
        <v>0</v>
      </c>
      <c r="H29" s="95">
        <f>'11.F&amp;V Crop Production details'!H90</f>
        <v>0</v>
      </c>
    </row>
    <row r="30" spans="1:8">
      <c r="A30" s="95">
        <f>'11.F&amp;V Crop Production details'!A91</f>
        <v>0</v>
      </c>
      <c r="B30" s="95">
        <f>'11.F&amp;V Crop Production details'!B91</f>
        <v>0</v>
      </c>
      <c r="C30" s="95">
        <f>'11.F&amp;V Crop Production details'!C91</f>
        <v>0</v>
      </c>
      <c r="D30" s="95">
        <f>'11.F&amp;V Crop Production details'!D91</f>
        <v>0</v>
      </c>
      <c r="E30" s="95">
        <f>'11.F&amp;V Crop Production details'!E91</f>
        <v>0</v>
      </c>
      <c r="F30" s="95">
        <f>'11.F&amp;V Crop Production details'!F91</f>
        <v>0</v>
      </c>
      <c r="G30" s="95">
        <f>'11.F&amp;V Crop Production details'!G91</f>
        <v>0</v>
      </c>
      <c r="H30" s="95">
        <f>'11.F&amp;V Crop Production details'!H91</f>
        <v>0</v>
      </c>
    </row>
    <row r="31" spans="1:8">
      <c r="A31" s="95">
        <f>'11.F&amp;V Crop Production details'!A92</f>
        <v>0</v>
      </c>
      <c r="B31" s="95">
        <f>'11.F&amp;V Crop Production details'!B92</f>
        <v>0</v>
      </c>
      <c r="C31" s="95">
        <f>'11.F&amp;V Crop Production details'!C92</f>
        <v>0</v>
      </c>
      <c r="D31" s="95">
        <f>'11.F&amp;V Crop Production details'!D92</f>
        <v>0</v>
      </c>
      <c r="E31" s="95">
        <f>'11.F&amp;V Crop Production details'!E92</f>
        <v>0</v>
      </c>
      <c r="F31" s="95">
        <f>'11.F&amp;V Crop Production details'!F92</f>
        <v>0</v>
      </c>
      <c r="G31" s="95">
        <f>'11.F&amp;V Crop Production details'!G92</f>
        <v>0</v>
      </c>
      <c r="H31" s="95">
        <f>'11.F&amp;V Crop Production details'!H92</f>
        <v>0</v>
      </c>
    </row>
    <row r="32" spans="1:8">
      <c r="A32" s="95">
        <f>'11.F&amp;V Crop Production details'!A93</f>
        <v>0</v>
      </c>
      <c r="B32" s="95">
        <f>'11.F&amp;V Crop Production details'!B93</f>
        <v>0</v>
      </c>
      <c r="C32" s="95">
        <f>'11.F&amp;V Crop Production details'!C93</f>
        <v>0</v>
      </c>
      <c r="D32" s="95">
        <f>'11.F&amp;V Crop Production details'!D93</f>
        <v>0</v>
      </c>
      <c r="E32" s="95">
        <f>'11.F&amp;V Crop Production details'!E93</f>
        <v>0</v>
      </c>
      <c r="F32" s="95">
        <f>'11.F&amp;V Crop Production details'!F93</f>
        <v>0</v>
      </c>
      <c r="G32" s="95">
        <f>'11.F&amp;V Crop Production details'!G93</f>
        <v>0</v>
      </c>
      <c r="H32" s="95">
        <f>'11.F&amp;V Crop Production details'!H93</f>
        <v>0</v>
      </c>
    </row>
    <row r="33" spans="1:8">
      <c r="A33" s="95">
        <f>'11.F&amp;V Crop Production details'!A94</f>
        <v>0</v>
      </c>
      <c r="B33" s="95">
        <f>'11.F&amp;V Crop Production details'!B94</f>
        <v>0</v>
      </c>
      <c r="C33" s="95">
        <f>'11.F&amp;V Crop Production details'!C94</f>
        <v>0</v>
      </c>
      <c r="D33" s="95">
        <f>'11.F&amp;V Crop Production details'!D94</f>
        <v>0</v>
      </c>
      <c r="E33" s="95">
        <f>'11.F&amp;V Crop Production details'!E94</f>
        <v>0</v>
      </c>
      <c r="F33" s="95">
        <f>'11.F&amp;V Crop Production details'!F94</f>
        <v>0</v>
      </c>
      <c r="G33" s="95">
        <f>'11.F&amp;V Crop Production details'!G94</f>
        <v>0</v>
      </c>
      <c r="H33" s="95">
        <f>'11.F&amp;V Crop Production details'!H94</f>
        <v>0</v>
      </c>
    </row>
    <row r="34" spans="1:8">
      <c r="A34" s="95" t="str">
        <f>'11.F&amp;V Crop Production details'!A95</f>
        <v>Pomegranate</v>
      </c>
      <c r="B34" s="95">
        <f>'11.F&amp;V Crop Production details'!B95</f>
        <v>0</v>
      </c>
      <c r="C34" s="95">
        <f>'11.F&amp;V Crop Production details'!C95</f>
        <v>0</v>
      </c>
      <c r="D34" s="95">
        <f>'11.F&amp;V Crop Production details'!D95</f>
        <v>0</v>
      </c>
      <c r="E34" s="95">
        <f>'11.F&amp;V Crop Production details'!E95</f>
        <v>0</v>
      </c>
      <c r="F34" s="95">
        <f>'11.F&amp;V Crop Production details'!F95</f>
        <v>0</v>
      </c>
      <c r="G34" s="95">
        <f>'11.F&amp;V Crop Production details'!G95</f>
        <v>0</v>
      </c>
      <c r="H34" s="95">
        <f>'11.F&amp;V Crop Production details'!H95</f>
        <v>0</v>
      </c>
    </row>
    <row r="35" spans="1:8">
      <c r="A35" s="95" t="str">
        <f>'11.F&amp;V Crop Production details'!A96</f>
        <v>Custard Apple</v>
      </c>
      <c r="B35" s="95">
        <f>'11.F&amp;V Crop Production details'!B96</f>
        <v>0</v>
      </c>
      <c r="C35" s="95">
        <f>'11.F&amp;V Crop Production details'!C96</f>
        <v>0</v>
      </c>
      <c r="D35" s="95">
        <f>'11.F&amp;V Crop Production details'!D96</f>
        <v>0</v>
      </c>
      <c r="E35" s="95">
        <f>'11.F&amp;V Crop Production details'!E96</f>
        <v>0</v>
      </c>
      <c r="F35" s="95">
        <f>'11.F&amp;V Crop Production details'!F96</f>
        <v>0</v>
      </c>
      <c r="G35" s="95">
        <f>'11.F&amp;V Crop Production details'!G96</f>
        <v>0</v>
      </c>
      <c r="H35" s="95">
        <f>'11.F&amp;V Crop Production details'!H96</f>
        <v>0</v>
      </c>
    </row>
    <row r="36" spans="1:8">
      <c r="A36" s="95" t="str">
        <f>'11.F&amp;V Crop Production details'!A97</f>
        <v>Guava</v>
      </c>
      <c r="B36" s="95">
        <f>'11.F&amp;V Crop Production details'!B97</f>
        <v>0</v>
      </c>
      <c r="C36" s="95">
        <f>'11.F&amp;V Crop Production details'!C97</f>
        <v>0</v>
      </c>
      <c r="D36" s="95">
        <f>'11.F&amp;V Crop Production details'!D97</f>
        <v>0</v>
      </c>
      <c r="E36" s="95">
        <f>'11.F&amp;V Crop Production details'!E97</f>
        <v>0</v>
      </c>
      <c r="F36" s="95">
        <f>'11.F&amp;V Crop Production details'!F97</f>
        <v>0</v>
      </c>
      <c r="G36" s="95">
        <f>'11.F&amp;V Crop Production details'!G97</f>
        <v>0</v>
      </c>
      <c r="H36" s="95">
        <f>'11.F&amp;V Crop Production details'!H97</f>
        <v>0</v>
      </c>
    </row>
    <row r="37" spans="1:8">
      <c r="A37" s="95" t="str">
        <f>'11.F&amp;V Crop Production details'!A98</f>
        <v>Citrus</v>
      </c>
      <c r="B37" s="95">
        <f>'11.F&amp;V Crop Production details'!B98</f>
        <v>0</v>
      </c>
      <c r="C37" s="95">
        <f>'11.F&amp;V Crop Production details'!C98</f>
        <v>0</v>
      </c>
      <c r="D37" s="95">
        <f>'11.F&amp;V Crop Production details'!D98</f>
        <v>0</v>
      </c>
      <c r="E37" s="95">
        <f>'11.F&amp;V Crop Production details'!E98</f>
        <v>0</v>
      </c>
      <c r="F37" s="95">
        <f>'11.F&amp;V Crop Production details'!F98</f>
        <v>0</v>
      </c>
      <c r="G37" s="95">
        <f>'11.F&amp;V Crop Production details'!G98</f>
        <v>0</v>
      </c>
      <c r="H37" s="95">
        <f>'11.F&amp;V Crop Production details'!H98</f>
        <v>0</v>
      </c>
    </row>
    <row r="38" spans="1:8">
      <c r="A38" s="95"/>
      <c r="B38" s="95"/>
      <c r="C38" s="95"/>
      <c r="D38" s="95"/>
      <c r="E38" s="95"/>
      <c r="F38" s="95"/>
      <c r="G38" s="95"/>
      <c r="H38" s="95"/>
    </row>
    <row r="39" spans="1:8">
      <c r="A39" s="95" t="s">
        <v>469</v>
      </c>
      <c r="B39" s="95">
        <f>SUM(B13:B37)</f>
        <v>0</v>
      </c>
      <c r="C39" s="95">
        <f t="shared" ref="C39:H39" si="1">SUM(C13:C37)</f>
        <v>0</v>
      </c>
      <c r="D39" s="95">
        <f t="shared" si="1"/>
        <v>0</v>
      </c>
      <c r="E39" s="95">
        <f t="shared" si="1"/>
        <v>0</v>
      </c>
      <c r="F39" s="95">
        <f t="shared" si="1"/>
        <v>0</v>
      </c>
      <c r="G39" s="95">
        <f t="shared" si="1"/>
        <v>0</v>
      </c>
      <c r="H39" s="95">
        <f t="shared" si="1"/>
        <v>0</v>
      </c>
    </row>
    <row r="40" spans="1:8">
      <c r="A40" s="327" t="s">
        <v>167</v>
      </c>
      <c r="B40" s="282">
        <v>0</v>
      </c>
      <c r="C40" s="282">
        <f>B40</f>
        <v>0</v>
      </c>
      <c r="D40" s="282">
        <f t="shared" ref="D40:H40" si="2">C40</f>
        <v>0</v>
      </c>
      <c r="E40" s="282">
        <f t="shared" si="2"/>
        <v>0</v>
      </c>
      <c r="F40" s="282">
        <f t="shared" si="2"/>
        <v>0</v>
      </c>
      <c r="G40" s="282">
        <f t="shared" si="2"/>
        <v>0</v>
      </c>
      <c r="H40" s="282">
        <f t="shared" si="2"/>
        <v>0</v>
      </c>
    </row>
    <row r="41" spans="1:8">
      <c r="A41" s="99" t="s">
        <v>479</v>
      </c>
      <c r="B41" s="328">
        <f>1-B40</f>
        <v>1</v>
      </c>
      <c r="C41" s="328">
        <f t="shared" ref="C41:H41" si="3">1-C40</f>
        <v>1</v>
      </c>
      <c r="D41" s="328">
        <f t="shared" si="3"/>
        <v>1</v>
      </c>
      <c r="E41" s="328">
        <f t="shared" si="3"/>
        <v>1</v>
      </c>
      <c r="F41" s="328">
        <f t="shared" si="3"/>
        <v>1</v>
      </c>
      <c r="G41" s="328">
        <f t="shared" si="3"/>
        <v>1</v>
      </c>
      <c r="H41" s="328">
        <f t="shared" si="3"/>
        <v>1</v>
      </c>
    </row>
    <row r="42" spans="1:8">
      <c r="A42" s="97" t="s">
        <v>167</v>
      </c>
      <c r="B42" s="261">
        <f>B39*B40</f>
        <v>0</v>
      </c>
      <c r="C42" s="261">
        <f t="shared" ref="C42:H42" si="4">C39*C40</f>
        <v>0</v>
      </c>
      <c r="D42" s="261">
        <f t="shared" si="4"/>
        <v>0</v>
      </c>
      <c r="E42" s="261">
        <f t="shared" si="4"/>
        <v>0</v>
      </c>
      <c r="F42" s="261">
        <f t="shared" si="4"/>
        <v>0</v>
      </c>
      <c r="G42" s="261">
        <f t="shared" si="4"/>
        <v>0</v>
      </c>
      <c r="H42" s="261">
        <f t="shared" si="4"/>
        <v>0</v>
      </c>
    </row>
    <row r="43" spans="1:8">
      <c r="A43" s="97" t="s">
        <v>168</v>
      </c>
      <c r="B43" s="115"/>
      <c r="C43" s="115"/>
      <c r="D43" s="115"/>
      <c r="E43" s="115"/>
      <c r="F43" s="115"/>
      <c r="G43" s="115"/>
      <c r="H43" s="115"/>
    </row>
    <row r="44" spans="1:8">
      <c r="A44" s="95" t="str">
        <f t="shared" ref="A44:A61" si="5">A13</f>
        <v>Onion</v>
      </c>
      <c r="B44" s="96">
        <f t="shared" ref="B44:B61" si="6">B13*$B$41</f>
        <v>0</v>
      </c>
      <c r="C44" s="96">
        <f t="shared" ref="C44:C61" si="7">C13*$C$41</f>
        <v>0</v>
      </c>
      <c r="D44" s="96">
        <f t="shared" ref="D44:D61" si="8">D13*$D$41</f>
        <v>0</v>
      </c>
      <c r="E44" s="96">
        <f t="shared" ref="E44:E61" si="9">E13*$E$41</f>
        <v>0</v>
      </c>
      <c r="F44" s="96">
        <f t="shared" ref="F44:F61" si="10">F13*$F$41</f>
        <v>0</v>
      </c>
      <c r="G44" s="96">
        <f t="shared" ref="G44:G61" si="11">G13*$G$41</f>
        <v>0</v>
      </c>
      <c r="H44" s="96">
        <f t="shared" ref="H44:H61" si="12">H13*$H$41</f>
        <v>0</v>
      </c>
    </row>
    <row r="45" spans="1:8">
      <c r="A45" s="95" t="str">
        <f t="shared" si="5"/>
        <v>Tomato</v>
      </c>
      <c r="B45" s="96">
        <f t="shared" si="6"/>
        <v>0</v>
      </c>
      <c r="C45" s="96">
        <f t="shared" si="7"/>
        <v>0</v>
      </c>
      <c r="D45" s="96">
        <f t="shared" si="8"/>
        <v>0</v>
      </c>
      <c r="E45" s="96">
        <f t="shared" si="9"/>
        <v>0</v>
      </c>
      <c r="F45" s="96">
        <f t="shared" si="10"/>
        <v>0</v>
      </c>
      <c r="G45" s="96">
        <f t="shared" si="11"/>
        <v>0</v>
      </c>
      <c r="H45" s="96">
        <f t="shared" si="12"/>
        <v>0</v>
      </c>
    </row>
    <row r="46" spans="1:8">
      <c r="A46" s="95" t="str">
        <f t="shared" si="5"/>
        <v>Okra</v>
      </c>
      <c r="B46" s="96">
        <f t="shared" si="6"/>
        <v>0</v>
      </c>
      <c r="C46" s="96">
        <f t="shared" si="7"/>
        <v>0</v>
      </c>
      <c r="D46" s="96">
        <f t="shared" si="8"/>
        <v>0</v>
      </c>
      <c r="E46" s="96">
        <f t="shared" si="9"/>
        <v>0</v>
      </c>
      <c r="F46" s="96">
        <f t="shared" si="10"/>
        <v>0</v>
      </c>
      <c r="G46" s="96">
        <f t="shared" si="11"/>
        <v>0</v>
      </c>
      <c r="H46" s="96">
        <f t="shared" si="12"/>
        <v>0</v>
      </c>
    </row>
    <row r="47" spans="1:8">
      <c r="A47" s="95" t="str">
        <f t="shared" si="5"/>
        <v>Chilli</v>
      </c>
      <c r="B47" s="96">
        <f t="shared" si="6"/>
        <v>0</v>
      </c>
      <c r="C47" s="96">
        <f t="shared" si="7"/>
        <v>0</v>
      </c>
      <c r="D47" s="96">
        <f t="shared" si="8"/>
        <v>0</v>
      </c>
      <c r="E47" s="96">
        <f t="shared" si="9"/>
        <v>0</v>
      </c>
      <c r="F47" s="96">
        <f t="shared" si="10"/>
        <v>0</v>
      </c>
      <c r="G47" s="96">
        <f t="shared" si="11"/>
        <v>0</v>
      </c>
      <c r="H47" s="96">
        <f t="shared" si="12"/>
        <v>0</v>
      </c>
    </row>
    <row r="48" spans="1:8">
      <c r="A48" s="95" t="str">
        <f t="shared" si="5"/>
        <v>Potato</v>
      </c>
      <c r="B48" s="96">
        <f t="shared" si="6"/>
        <v>0</v>
      </c>
      <c r="C48" s="96">
        <f t="shared" si="7"/>
        <v>0</v>
      </c>
      <c r="D48" s="96">
        <f t="shared" si="8"/>
        <v>0</v>
      </c>
      <c r="E48" s="96">
        <f t="shared" si="9"/>
        <v>0</v>
      </c>
      <c r="F48" s="96">
        <f t="shared" si="10"/>
        <v>0</v>
      </c>
      <c r="G48" s="96">
        <f t="shared" si="11"/>
        <v>0</v>
      </c>
      <c r="H48" s="96">
        <f t="shared" si="12"/>
        <v>0</v>
      </c>
    </row>
    <row r="49" spans="1:8">
      <c r="A49" s="95">
        <f t="shared" si="5"/>
        <v>0</v>
      </c>
      <c r="B49" s="96">
        <f t="shared" si="6"/>
        <v>0</v>
      </c>
      <c r="C49" s="96">
        <f t="shared" si="7"/>
        <v>0</v>
      </c>
      <c r="D49" s="96">
        <f t="shared" si="8"/>
        <v>0</v>
      </c>
      <c r="E49" s="96">
        <f t="shared" si="9"/>
        <v>0</v>
      </c>
      <c r="F49" s="96">
        <f t="shared" si="10"/>
        <v>0</v>
      </c>
      <c r="G49" s="96">
        <f t="shared" si="11"/>
        <v>0</v>
      </c>
      <c r="H49" s="96">
        <f t="shared" si="12"/>
        <v>0</v>
      </c>
    </row>
    <row r="50" spans="1:8">
      <c r="A50" s="95">
        <f t="shared" si="5"/>
        <v>0</v>
      </c>
      <c r="B50" s="96">
        <f t="shared" si="6"/>
        <v>0</v>
      </c>
      <c r="C50" s="96">
        <f t="shared" si="7"/>
        <v>0</v>
      </c>
      <c r="D50" s="96">
        <f t="shared" si="8"/>
        <v>0</v>
      </c>
      <c r="E50" s="96">
        <f t="shared" si="9"/>
        <v>0</v>
      </c>
      <c r="F50" s="96">
        <f t="shared" si="10"/>
        <v>0</v>
      </c>
      <c r="G50" s="96">
        <f t="shared" si="11"/>
        <v>0</v>
      </c>
      <c r="H50" s="96">
        <f t="shared" si="12"/>
        <v>0</v>
      </c>
    </row>
    <row r="51" spans="1:8">
      <c r="A51" s="95">
        <f t="shared" si="5"/>
        <v>0</v>
      </c>
      <c r="B51" s="96">
        <f t="shared" si="6"/>
        <v>0</v>
      </c>
      <c r="C51" s="96">
        <f t="shared" si="7"/>
        <v>0</v>
      </c>
      <c r="D51" s="96">
        <f t="shared" si="8"/>
        <v>0</v>
      </c>
      <c r="E51" s="96">
        <f t="shared" si="9"/>
        <v>0</v>
      </c>
      <c r="F51" s="96">
        <f t="shared" si="10"/>
        <v>0</v>
      </c>
      <c r="G51" s="96">
        <f t="shared" si="11"/>
        <v>0</v>
      </c>
      <c r="H51" s="96">
        <f t="shared" si="12"/>
        <v>0</v>
      </c>
    </row>
    <row r="52" spans="1:8">
      <c r="A52" s="95">
        <f t="shared" si="5"/>
        <v>0</v>
      </c>
      <c r="B52" s="96">
        <f t="shared" si="6"/>
        <v>0</v>
      </c>
      <c r="C52" s="96">
        <f t="shared" si="7"/>
        <v>0</v>
      </c>
      <c r="D52" s="96">
        <f t="shared" si="8"/>
        <v>0</v>
      </c>
      <c r="E52" s="96">
        <f t="shared" si="9"/>
        <v>0</v>
      </c>
      <c r="F52" s="96">
        <f t="shared" si="10"/>
        <v>0</v>
      </c>
      <c r="G52" s="96">
        <f t="shared" si="11"/>
        <v>0</v>
      </c>
      <c r="H52" s="96">
        <f t="shared" si="12"/>
        <v>0</v>
      </c>
    </row>
    <row r="53" spans="1:8">
      <c r="A53" s="95" t="str">
        <f t="shared" si="5"/>
        <v>Onion</v>
      </c>
      <c r="B53" s="96">
        <f t="shared" si="6"/>
        <v>0</v>
      </c>
      <c r="C53" s="96">
        <f t="shared" si="7"/>
        <v>0</v>
      </c>
      <c r="D53" s="96">
        <f t="shared" si="8"/>
        <v>0</v>
      </c>
      <c r="E53" s="96">
        <f t="shared" si="9"/>
        <v>0</v>
      </c>
      <c r="F53" s="96">
        <f t="shared" si="10"/>
        <v>0</v>
      </c>
      <c r="G53" s="96">
        <f t="shared" si="11"/>
        <v>0</v>
      </c>
      <c r="H53" s="96">
        <f t="shared" si="12"/>
        <v>0</v>
      </c>
    </row>
    <row r="54" spans="1:8">
      <c r="A54" s="95" t="str">
        <f t="shared" si="5"/>
        <v>Tomato</v>
      </c>
      <c r="B54" s="96">
        <f t="shared" si="6"/>
        <v>0</v>
      </c>
      <c r="C54" s="96">
        <f t="shared" si="7"/>
        <v>0</v>
      </c>
      <c r="D54" s="96">
        <f t="shared" si="8"/>
        <v>0</v>
      </c>
      <c r="E54" s="96">
        <f t="shared" si="9"/>
        <v>0</v>
      </c>
      <c r="F54" s="96">
        <f t="shared" si="10"/>
        <v>0</v>
      </c>
      <c r="G54" s="96">
        <f t="shared" si="11"/>
        <v>0</v>
      </c>
      <c r="H54" s="96">
        <f t="shared" si="12"/>
        <v>0</v>
      </c>
    </row>
    <row r="55" spans="1:8">
      <c r="A55" s="95" t="str">
        <f t="shared" si="5"/>
        <v>Okra</v>
      </c>
      <c r="B55" s="96">
        <f t="shared" si="6"/>
        <v>0</v>
      </c>
      <c r="C55" s="96">
        <f t="shared" si="7"/>
        <v>0</v>
      </c>
      <c r="D55" s="96">
        <f t="shared" si="8"/>
        <v>0</v>
      </c>
      <c r="E55" s="96">
        <f t="shared" si="9"/>
        <v>0</v>
      </c>
      <c r="F55" s="96">
        <f t="shared" si="10"/>
        <v>0</v>
      </c>
      <c r="G55" s="96">
        <f t="shared" si="11"/>
        <v>0</v>
      </c>
      <c r="H55" s="96">
        <f t="shared" si="12"/>
        <v>0</v>
      </c>
    </row>
    <row r="56" spans="1:8">
      <c r="A56" s="95" t="str">
        <f t="shared" si="5"/>
        <v>Chilli</v>
      </c>
      <c r="B56" s="96">
        <f t="shared" si="6"/>
        <v>0</v>
      </c>
      <c r="C56" s="96">
        <f t="shared" si="7"/>
        <v>0</v>
      </c>
      <c r="D56" s="96">
        <f t="shared" si="8"/>
        <v>0</v>
      </c>
      <c r="E56" s="96">
        <f t="shared" si="9"/>
        <v>0</v>
      </c>
      <c r="F56" s="96">
        <f t="shared" si="10"/>
        <v>0</v>
      </c>
      <c r="G56" s="96">
        <f t="shared" si="11"/>
        <v>0</v>
      </c>
      <c r="H56" s="96">
        <f t="shared" si="12"/>
        <v>0</v>
      </c>
    </row>
    <row r="57" spans="1:8">
      <c r="A57" s="95" t="str">
        <f t="shared" si="5"/>
        <v>Brinjal</v>
      </c>
      <c r="B57" s="96">
        <f t="shared" si="6"/>
        <v>0</v>
      </c>
      <c r="C57" s="96">
        <f t="shared" si="7"/>
        <v>0</v>
      </c>
      <c r="D57" s="96">
        <f t="shared" si="8"/>
        <v>0</v>
      </c>
      <c r="E57" s="96">
        <f t="shared" si="9"/>
        <v>0</v>
      </c>
      <c r="F57" s="96">
        <f t="shared" si="10"/>
        <v>0</v>
      </c>
      <c r="G57" s="96">
        <f t="shared" si="11"/>
        <v>0</v>
      </c>
      <c r="H57" s="96">
        <f t="shared" si="12"/>
        <v>0</v>
      </c>
    </row>
    <row r="58" spans="1:8">
      <c r="A58" s="95">
        <f t="shared" si="5"/>
        <v>0</v>
      </c>
      <c r="B58" s="96">
        <f t="shared" si="6"/>
        <v>0</v>
      </c>
      <c r="C58" s="96">
        <f t="shared" si="7"/>
        <v>0</v>
      </c>
      <c r="D58" s="96">
        <f t="shared" si="8"/>
        <v>0</v>
      </c>
      <c r="E58" s="96">
        <f t="shared" si="9"/>
        <v>0</v>
      </c>
      <c r="F58" s="96">
        <f t="shared" si="10"/>
        <v>0</v>
      </c>
      <c r="G58" s="96">
        <f t="shared" si="11"/>
        <v>0</v>
      </c>
      <c r="H58" s="96">
        <f t="shared" si="12"/>
        <v>0</v>
      </c>
    </row>
    <row r="59" spans="1:8">
      <c r="A59" s="95">
        <f t="shared" si="5"/>
        <v>0</v>
      </c>
      <c r="B59" s="96">
        <f t="shared" si="6"/>
        <v>0</v>
      </c>
      <c r="C59" s="96">
        <f t="shared" si="7"/>
        <v>0</v>
      </c>
      <c r="D59" s="96">
        <f t="shared" si="8"/>
        <v>0</v>
      </c>
      <c r="E59" s="96">
        <f t="shared" si="9"/>
        <v>0</v>
      </c>
      <c r="F59" s="96">
        <f t="shared" si="10"/>
        <v>0</v>
      </c>
      <c r="G59" s="96">
        <f t="shared" si="11"/>
        <v>0</v>
      </c>
      <c r="H59" s="96">
        <f t="shared" si="12"/>
        <v>0</v>
      </c>
    </row>
    <row r="60" spans="1:8">
      <c r="A60" s="95">
        <f t="shared" si="5"/>
        <v>0</v>
      </c>
      <c r="B60" s="96">
        <f t="shared" si="6"/>
        <v>0</v>
      </c>
      <c r="C60" s="96">
        <f t="shared" si="7"/>
        <v>0</v>
      </c>
      <c r="D60" s="96">
        <f t="shared" si="8"/>
        <v>0</v>
      </c>
      <c r="E60" s="96">
        <f t="shared" si="9"/>
        <v>0</v>
      </c>
      <c r="F60" s="96">
        <f t="shared" si="10"/>
        <v>0</v>
      </c>
      <c r="G60" s="96">
        <f t="shared" si="11"/>
        <v>0</v>
      </c>
      <c r="H60" s="96">
        <f t="shared" si="12"/>
        <v>0</v>
      </c>
    </row>
    <row r="61" spans="1:8">
      <c r="A61" s="95">
        <f t="shared" si="5"/>
        <v>0</v>
      </c>
      <c r="B61" s="96">
        <f t="shared" si="6"/>
        <v>0</v>
      </c>
      <c r="C61" s="96">
        <f t="shared" si="7"/>
        <v>0</v>
      </c>
      <c r="D61" s="96">
        <f t="shared" si="8"/>
        <v>0</v>
      </c>
      <c r="E61" s="96">
        <f t="shared" si="9"/>
        <v>0</v>
      </c>
      <c r="F61" s="96">
        <f t="shared" si="10"/>
        <v>0</v>
      </c>
      <c r="G61" s="96">
        <f t="shared" si="11"/>
        <v>0</v>
      </c>
      <c r="H61" s="96">
        <f t="shared" si="12"/>
        <v>0</v>
      </c>
    </row>
    <row r="62" spans="1:8">
      <c r="A62" s="95" t="str">
        <f t="shared" ref="A62" si="13">A34</f>
        <v>Pomegranate</v>
      </c>
      <c r="B62" s="96">
        <f>B34*$B$41</f>
        <v>0</v>
      </c>
      <c r="C62" s="96">
        <f t="shared" ref="C62:H62" si="14">C34*$B$41</f>
        <v>0</v>
      </c>
      <c r="D62" s="96">
        <f t="shared" si="14"/>
        <v>0</v>
      </c>
      <c r="E62" s="96">
        <f t="shared" si="14"/>
        <v>0</v>
      </c>
      <c r="F62" s="96">
        <f t="shared" si="14"/>
        <v>0</v>
      </c>
      <c r="G62" s="96">
        <f t="shared" si="14"/>
        <v>0</v>
      </c>
      <c r="H62" s="96">
        <f t="shared" si="14"/>
        <v>0</v>
      </c>
    </row>
    <row r="63" spans="1:8">
      <c r="A63" s="95" t="str">
        <f>A35</f>
        <v>Custard Apple</v>
      </c>
      <c r="B63" s="96">
        <f t="shared" ref="B63:H63" si="15">B35*$B$41</f>
        <v>0</v>
      </c>
      <c r="C63" s="96">
        <f t="shared" si="15"/>
        <v>0</v>
      </c>
      <c r="D63" s="96">
        <f t="shared" si="15"/>
        <v>0</v>
      </c>
      <c r="E63" s="96">
        <f t="shared" si="15"/>
        <v>0</v>
      </c>
      <c r="F63" s="96">
        <f t="shared" si="15"/>
        <v>0</v>
      </c>
      <c r="G63" s="96">
        <f t="shared" si="15"/>
        <v>0</v>
      </c>
      <c r="H63" s="96">
        <f t="shared" si="15"/>
        <v>0</v>
      </c>
    </row>
    <row r="64" spans="1:8">
      <c r="A64" s="95" t="str">
        <f>A36</f>
        <v>Guava</v>
      </c>
      <c r="B64" s="96">
        <f t="shared" ref="B64:H65" si="16">B36*$B$41</f>
        <v>0</v>
      </c>
      <c r="C64" s="96">
        <f t="shared" si="16"/>
        <v>0</v>
      </c>
      <c r="D64" s="96">
        <f t="shared" si="16"/>
        <v>0</v>
      </c>
      <c r="E64" s="96">
        <f t="shared" si="16"/>
        <v>0</v>
      </c>
      <c r="F64" s="96">
        <f t="shared" si="16"/>
        <v>0</v>
      </c>
      <c r="G64" s="96">
        <f t="shared" si="16"/>
        <v>0</v>
      </c>
      <c r="H64" s="96">
        <f t="shared" si="16"/>
        <v>0</v>
      </c>
    </row>
    <row r="65" spans="1:8">
      <c r="A65" s="95" t="str">
        <f>A37</f>
        <v>Citrus</v>
      </c>
      <c r="B65" s="96">
        <f t="shared" si="16"/>
        <v>0</v>
      </c>
      <c r="C65" s="96">
        <f t="shared" si="16"/>
        <v>0</v>
      </c>
      <c r="D65" s="96">
        <f t="shared" si="16"/>
        <v>0</v>
      </c>
      <c r="E65" s="96">
        <f t="shared" si="16"/>
        <v>0</v>
      </c>
      <c r="F65" s="96">
        <f t="shared" si="16"/>
        <v>0</v>
      </c>
      <c r="G65" s="96">
        <f t="shared" si="16"/>
        <v>0</v>
      </c>
      <c r="H65" s="96">
        <f t="shared" si="16"/>
        <v>0</v>
      </c>
    </row>
    <row r="66" spans="1:8">
      <c r="A66" s="97" t="s">
        <v>289</v>
      </c>
      <c r="B66" s="95"/>
      <c r="C66" s="95"/>
      <c r="D66" s="95"/>
      <c r="E66" s="95"/>
      <c r="F66" s="95"/>
      <c r="G66" s="95"/>
      <c r="H66" s="95"/>
    </row>
    <row r="67" spans="1:8">
      <c r="A67" s="95" t="str">
        <f>A44</f>
        <v>Onion</v>
      </c>
      <c r="B67" s="191"/>
      <c r="C67" s="191"/>
      <c r="D67" s="191"/>
      <c r="E67" s="191"/>
      <c r="F67" s="191"/>
      <c r="G67" s="191"/>
      <c r="H67" s="191"/>
    </row>
    <row r="68" spans="1:8">
      <c r="A68" s="95"/>
      <c r="B68" s="191"/>
      <c r="C68" s="191"/>
      <c r="D68" s="191"/>
      <c r="E68" s="191"/>
      <c r="F68" s="191"/>
      <c r="G68" s="191"/>
      <c r="H68" s="191"/>
    </row>
    <row r="69" spans="1:8">
      <c r="A69" s="95"/>
      <c r="B69" s="191"/>
      <c r="C69" s="191"/>
      <c r="D69" s="191"/>
      <c r="E69" s="191"/>
      <c r="F69" s="191"/>
      <c r="G69" s="191"/>
      <c r="H69" s="191"/>
    </row>
    <row r="70" spans="1:8">
      <c r="A70" s="95"/>
      <c r="B70" s="191"/>
      <c r="C70" s="191"/>
      <c r="D70" s="191"/>
      <c r="E70" s="191"/>
      <c r="F70" s="191"/>
      <c r="G70" s="191"/>
      <c r="H70" s="191"/>
    </row>
    <row r="71" spans="1:8">
      <c r="A71" s="95" t="str">
        <f>A45</f>
        <v>Tomato</v>
      </c>
      <c r="B71" s="96"/>
      <c r="C71" s="96"/>
      <c r="D71" s="96"/>
      <c r="E71" s="96"/>
      <c r="F71" s="96"/>
      <c r="G71" s="96"/>
      <c r="H71" s="96"/>
    </row>
    <row r="72" spans="1:8">
      <c r="A72" s="95"/>
      <c r="B72" s="96"/>
      <c r="C72" s="96"/>
      <c r="D72" s="96"/>
      <c r="E72" s="96"/>
      <c r="F72" s="96"/>
      <c r="G72" s="96"/>
      <c r="H72" s="96"/>
    </row>
    <row r="73" spans="1:8">
      <c r="A73" s="95"/>
      <c r="B73" s="96"/>
      <c r="C73" s="96"/>
      <c r="D73" s="96"/>
      <c r="E73" s="96"/>
      <c r="F73" s="96"/>
      <c r="G73" s="96"/>
      <c r="H73" s="96"/>
    </row>
    <row r="74" spans="1:8">
      <c r="A74" s="95"/>
      <c r="B74" s="96"/>
      <c r="C74" s="96"/>
      <c r="D74" s="96"/>
      <c r="E74" s="96"/>
      <c r="F74" s="96"/>
      <c r="G74" s="96"/>
      <c r="H74" s="96"/>
    </row>
    <row r="75" spans="1:8">
      <c r="A75" s="95" t="str">
        <f>A46</f>
        <v>Okra</v>
      </c>
      <c r="B75" s="96"/>
      <c r="C75" s="96"/>
      <c r="D75" s="96"/>
      <c r="E75" s="96"/>
      <c r="F75" s="96"/>
      <c r="G75" s="96"/>
      <c r="H75" s="96"/>
    </row>
    <row r="76" spans="1:8">
      <c r="A76" s="95"/>
      <c r="B76" s="96"/>
      <c r="C76" s="96"/>
      <c r="D76" s="96"/>
      <c r="E76" s="96"/>
      <c r="F76" s="96"/>
      <c r="G76" s="96"/>
      <c r="H76" s="96"/>
    </row>
    <row r="77" spans="1:8">
      <c r="A77" s="95"/>
      <c r="B77" s="96"/>
      <c r="C77" s="96"/>
      <c r="D77" s="96"/>
      <c r="E77" s="96"/>
      <c r="F77" s="96"/>
      <c r="G77" s="96"/>
      <c r="H77" s="96"/>
    </row>
    <row r="78" spans="1:8">
      <c r="A78" s="95"/>
      <c r="B78" s="96"/>
      <c r="C78" s="96"/>
      <c r="D78" s="96"/>
      <c r="E78" s="96"/>
      <c r="F78" s="96"/>
      <c r="G78" s="96"/>
      <c r="H78" s="96"/>
    </row>
    <row r="79" spans="1:8">
      <c r="A79" s="95" t="str">
        <f>A47</f>
        <v>Chilli</v>
      </c>
      <c r="B79" s="96"/>
      <c r="C79" s="96"/>
      <c r="D79" s="96"/>
      <c r="E79" s="96"/>
      <c r="F79" s="96"/>
      <c r="G79" s="96"/>
      <c r="H79" s="96"/>
    </row>
    <row r="80" spans="1:8">
      <c r="A80" s="95"/>
      <c r="B80" s="96"/>
      <c r="C80" s="96"/>
      <c r="D80" s="96"/>
      <c r="E80" s="96"/>
      <c r="F80" s="96"/>
      <c r="G80" s="96"/>
      <c r="H80" s="96"/>
    </row>
    <row r="81" spans="1:8">
      <c r="A81" s="95"/>
      <c r="B81" s="96"/>
      <c r="C81" s="96"/>
      <c r="D81" s="96"/>
      <c r="E81" s="96"/>
      <c r="F81" s="96"/>
      <c r="G81" s="96"/>
      <c r="H81" s="96"/>
    </row>
    <row r="82" spans="1:8">
      <c r="A82" s="95"/>
      <c r="B82" s="96"/>
      <c r="C82" s="96"/>
      <c r="D82" s="96"/>
      <c r="E82" s="96"/>
      <c r="F82" s="96"/>
      <c r="G82" s="96"/>
      <c r="H82" s="96"/>
    </row>
    <row r="83" spans="1:8">
      <c r="A83" s="95" t="str">
        <f>A48</f>
        <v>Potato</v>
      </c>
      <c r="B83" s="96"/>
      <c r="C83" s="96"/>
      <c r="D83" s="96"/>
      <c r="E83" s="96"/>
      <c r="F83" s="96"/>
      <c r="G83" s="96"/>
      <c r="H83" s="96"/>
    </row>
    <row r="84" spans="1:8">
      <c r="A84" s="95"/>
      <c r="B84" s="96"/>
      <c r="C84" s="96"/>
      <c r="D84" s="96"/>
      <c r="E84" s="96"/>
      <c r="F84" s="96"/>
      <c r="G84" s="96"/>
      <c r="H84" s="96"/>
    </row>
    <row r="85" spans="1:8">
      <c r="A85" s="95"/>
      <c r="B85" s="96"/>
      <c r="C85" s="96"/>
      <c r="D85" s="96"/>
      <c r="E85" s="96"/>
      <c r="F85" s="96"/>
      <c r="G85" s="96"/>
      <c r="H85" s="96"/>
    </row>
    <row r="86" spans="1:8">
      <c r="A86" s="95"/>
      <c r="B86" s="96"/>
      <c r="C86" s="96"/>
      <c r="D86" s="96"/>
      <c r="E86" s="96"/>
      <c r="F86" s="96"/>
      <c r="G86" s="96"/>
      <c r="H86" s="96"/>
    </row>
    <row r="87" spans="1:8">
      <c r="A87" s="95">
        <f>A49</f>
        <v>0</v>
      </c>
      <c r="B87" s="96"/>
      <c r="C87" s="96"/>
      <c r="D87" s="96"/>
      <c r="E87" s="96"/>
      <c r="F87" s="96"/>
      <c r="G87" s="96"/>
      <c r="H87" s="96"/>
    </row>
    <row r="88" spans="1:8">
      <c r="A88" s="95"/>
      <c r="B88" s="96"/>
      <c r="C88" s="96"/>
      <c r="D88" s="96"/>
      <c r="E88" s="96"/>
      <c r="F88" s="96"/>
      <c r="G88" s="96"/>
      <c r="H88" s="96"/>
    </row>
    <row r="89" spans="1:8">
      <c r="A89" s="95"/>
      <c r="B89" s="96"/>
      <c r="C89" s="96"/>
      <c r="D89" s="96"/>
      <c r="E89" s="96"/>
      <c r="F89" s="96"/>
      <c r="G89" s="96"/>
      <c r="H89" s="96"/>
    </row>
    <row r="90" spans="1:8">
      <c r="A90" s="95"/>
      <c r="B90" s="96"/>
      <c r="C90" s="96"/>
      <c r="D90" s="96"/>
      <c r="E90" s="96"/>
      <c r="F90" s="96"/>
      <c r="G90" s="96"/>
      <c r="H90" s="96"/>
    </row>
    <row r="91" spans="1:8">
      <c r="A91" s="95">
        <f>A50</f>
        <v>0</v>
      </c>
      <c r="B91" s="96"/>
      <c r="C91" s="96"/>
      <c r="D91" s="96"/>
      <c r="E91" s="96"/>
      <c r="F91" s="96"/>
      <c r="G91" s="96"/>
      <c r="H91" s="96"/>
    </row>
    <row r="92" spans="1:8">
      <c r="A92" s="95"/>
      <c r="B92" s="96"/>
      <c r="C92" s="96"/>
      <c r="D92" s="96"/>
      <c r="E92" s="96"/>
      <c r="F92" s="96"/>
      <c r="G92" s="96"/>
      <c r="H92" s="96"/>
    </row>
    <row r="93" spans="1:8">
      <c r="A93" s="95"/>
      <c r="B93" s="96"/>
      <c r="C93" s="96"/>
      <c r="D93" s="96"/>
      <c r="E93" s="96"/>
      <c r="F93" s="96"/>
      <c r="G93" s="96"/>
      <c r="H93" s="96"/>
    </row>
    <row r="94" spans="1:8">
      <c r="A94" s="95">
        <f>A51</f>
        <v>0</v>
      </c>
      <c r="B94" s="96"/>
      <c r="C94" s="96"/>
      <c r="D94" s="96"/>
      <c r="E94" s="96"/>
      <c r="F94" s="96"/>
      <c r="G94" s="96"/>
      <c r="H94" s="96"/>
    </row>
    <row r="95" spans="1:8">
      <c r="A95" s="95"/>
      <c r="B95" s="96"/>
      <c r="C95" s="96"/>
      <c r="D95" s="96"/>
      <c r="E95" s="96"/>
      <c r="F95" s="96"/>
      <c r="G95" s="96"/>
      <c r="H95" s="96"/>
    </row>
    <row r="96" spans="1:8">
      <c r="A96" s="95"/>
      <c r="B96" s="96"/>
      <c r="C96" s="96"/>
      <c r="D96" s="96"/>
      <c r="E96" s="96"/>
      <c r="F96" s="96"/>
      <c r="G96" s="96"/>
      <c r="H96" s="96"/>
    </row>
    <row r="97" spans="1:8">
      <c r="A97" s="95"/>
      <c r="B97" s="96"/>
      <c r="C97" s="96"/>
      <c r="D97" s="96"/>
      <c r="E97" s="96"/>
      <c r="F97" s="96"/>
      <c r="G97" s="96"/>
      <c r="H97" s="96"/>
    </row>
    <row r="98" spans="1:8">
      <c r="A98" s="95">
        <f>A52</f>
        <v>0</v>
      </c>
      <c r="B98" s="96"/>
      <c r="C98" s="96"/>
      <c r="D98" s="96"/>
      <c r="E98" s="96"/>
      <c r="F98" s="96"/>
      <c r="G98" s="96"/>
      <c r="H98" s="96"/>
    </row>
    <row r="99" spans="1:8">
      <c r="A99" s="95"/>
      <c r="B99" s="96"/>
      <c r="C99" s="96"/>
      <c r="D99" s="96"/>
      <c r="E99" s="96"/>
      <c r="F99" s="96"/>
      <c r="G99" s="96"/>
      <c r="H99" s="96"/>
    </row>
    <row r="100" spans="1:8">
      <c r="A100" s="95"/>
      <c r="B100" s="96"/>
      <c r="C100" s="96"/>
      <c r="D100" s="96"/>
      <c r="E100" s="96"/>
      <c r="F100" s="96"/>
      <c r="G100" s="96"/>
      <c r="H100" s="96"/>
    </row>
    <row r="101" spans="1:8">
      <c r="A101" s="95"/>
      <c r="B101" s="96"/>
      <c r="C101" s="96"/>
      <c r="D101" s="96"/>
      <c r="E101" s="96"/>
      <c r="F101" s="96"/>
      <c r="G101" s="96"/>
      <c r="H101" s="96"/>
    </row>
    <row r="102" spans="1:8">
      <c r="A102" s="95" t="str">
        <f>A53</f>
        <v>Onion</v>
      </c>
      <c r="B102" s="96"/>
      <c r="C102" s="96"/>
      <c r="D102" s="96"/>
      <c r="E102" s="96"/>
      <c r="F102" s="96"/>
      <c r="G102" s="96"/>
      <c r="H102" s="96"/>
    </row>
    <row r="103" spans="1:8">
      <c r="A103" s="95"/>
      <c r="B103" s="96"/>
      <c r="C103" s="96"/>
      <c r="D103" s="96"/>
      <c r="E103" s="96"/>
      <c r="F103" s="96"/>
      <c r="G103" s="96"/>
      <c r="H103" s="96"/>
    </row>
    <row r="104" spans="1:8">
      <c r="A104" s="95"/>
      <c r="B104" s="96"/>
      <c r="C104" s="96"/>
      <c r="D104" s="96"/>
      <c r="E104" s="96"/>
      <c r="F104" s="96"/>
      <c r="G104" s="96"/>
      <c r="H104" s="96"/>
    </row>
    <row r="105" spans="1:8">
      <c r="A105" s="95"/>
      <c r="B105" s="96"/>
      <c r="C105" s="96"/>
      <c r="D105" s="96"/>
      <c r="E105" s="96"/>
      <c r="F105" s="96"/>
      <c r="G105" s="96"/>
      <c r="H105" s="96"/>
    </row>
    <row r="106" spans="1:8">
      <c r="A106" s="95" t="str">
        <f>A54</f>
        <v>Tomato</v>
      </c>
      <c r="B106" s="96"/>
      <c r="C106" s="96"/>
      <c r="D106" s="96"/>
      <c r="E106" s="96"/>
      <c r="F106" s="96"/>
      <c r="G106" s="96"/>
      <c r="H106" s="96"/>
    </row>
    <row r="107" spans="1:8">
      <c r="A107" s="95"/>
      <c r="B107" s="96"/>
      <c r="C107" s="96"/>
      <c r="D107" s="96"/>
      <c r="E107" s="96"/>
      <c r="F107" s="96"/>
      <c r="G107" s="96"/>
      <c r="H107" s="96"/>
    </row>
    <row r="108" spans="1:8">
      <c r="A108" s="95"/>
      <c r="B108" s="96"/>
      <c r="C108" s="96"/>
      <c r="D108" s="96"/>
      <c r="E108" s="96"/>
      <c r="F108" s="96"/>
      <c r="G108" s="96"/>
      <c r="H108" s="96"/>
    </row>
    <row r="109" spans="1:8">
      <c r="A109" s="95"/>
      <c r="B109" s="96"/>
      <c r="C109" s="96"/>
      <c r="D109" s="96"/>
      <c r="E109" s="96"/>
      <c r="F109" s="96"/>
      <c r="G109" s="96"/>
      <c r="H109" s="96"/>
    </row>
    <row r="110" spans="1:8">
      <c r="A110" s="95" t="str">
        <f>A55</f>
        <v>Okra</v>
      </c>
      <c r="B110" s="96"/>
      <c r="C110" s="96"/>
      <c r="D110" s="96"/>
      <c r="E110" s="96"/>
      <c r="F110" s="96"/>
      <c r="G110" s="96"/>
      <c r="H110" s="96"/>
    </row>
    <row r="111" spans="1:8">
      <c r="A111" s="95"/>
      <c r="B111" s="96"/>
      <c r="C111" s="96"/>
      <c r="D111" s="96"/>
      <c r="E111" s="96"/>
      <c r="F111" s="96"/>
      <c r="G111" s="96"/>
      <c r="H111" s="96"/>
    </row>
    <row r="112" spans="1:8">
      <c r="A112" s="95"/>
      <c r="B112" s="96"/>
      <c r="C112" s="96"/>
      <c r="D112" s="96"/>
      <c r="E112" s="96"/>
      <c r="F112" s="96"/>
      <c r="G112" s="96"/>
      <c r="H112" s="96"/>
    </row>
    <row r="113" spans="1:8">
      <c r="A113" s="95"/>
      <c r="B113" s="96"/>
      <c r="C113" s="96"/>
      <c r="D113" s="96"/>
      <c r="E113" s="96"/>
      <c r="F113" s="96"/>
      <c r="G113" s="96"/>
      <c r="H113" s="96"/>
    </row>
    <row r="114" spans="1:8">
      <c r="A114" s="95" t="str">
        <f>A56</f>
        <v>Chilli</v>
      </c>
      <c r="B114" s="96"/>
      <c r="C114" s="96"/>
      <c r="D114" s="96"/>
      <c r="E114" s="96"/>
      <c r="F114" s="96"/>
      <c r="G114" s="96"/>
      <c r="H114" s="96"/>
    </row>
    <row r="115" spans="1:8">
      <c r="A115" s="95"/>
      <c r="B115" s="96"/>
      <c r="C115" s="96"/>
      <c r="D115" s="96"/>
      <c r="E115" s="96"/>
      <c r="F115" s="96"/>
      <c r="G115" s="96"/>
      <c r="H115" s="96"/>
    </row>
    <row r="116" spans="1:8">
      <c r="A116" s="95"/>
      <c r="B116" s="96"/>
      <c r="C116" s="96"/>
      <c r="D116" s="96"/>
      <c r="E116" s="96"/>
      <c r="F116" s="96"/>
      <c r="G116" s="96"/>
      <c r="H116" s="96"/>
    </row>
    <row r="117" spans="1:8">
      <c r="A117" s="95"/>
      <c r="B117" s="96"/>
      <c r="C117" s="96"/>
      <c r="D117" s="96"/>
      <c r="E117" s="96"/>
      <c r="F117" s="96"/>
      <c r="G117" s="96"/>
      <c r="H117" s="96"/>
    </row>
    <row r="118" spans="1:8">
      <c r="A118" s="97" t="str">
        <f t="shared" ref="A118:A123" si="17">A57</f>
        <v>Brinjal</v>
      </c>
      <c r="B118" s="96"/>
      <c r="C118" s="96"/>
      <c r="D118" s="96"/>
      <c r="E118" s="96"/>
      <c r="F118" s="96"/>
      <c r="G118" s="96"/>
      <c r="H118" s="96"/>
    </row>
    <row r="119" spans="1:8">
      <c r="A119" s="95">
        <f t="shared" si="17"/>
        <v>0</v>
      </c>
      <c r="B119" s="96"/>
      <c r="C119" s="96"/>
      <c r="D119" s="96"/>
      <c r="E119" s="96"/>
      <c r="F119" s="96"/>
      <c r="G119" s="96"/>
      <c r="H119" s="96"/>
    </row>
    <row r="120" spans="1:8">
      <c r="A120" s="95">
        <f t="shared" si="17"/>
        <v>0</v>
      </c>
      <c r="B120" s="96"/>
      <c r="C120" s="96"/>
      <c r="D120" s="96"/>
      <c r="E120" s="96"/>
      <c r="F120" s="96"/>
      <c r="G120" s="96"/>
      <c r="H120" s="96"/>
    </row>
    <row r="121" spans="1:8">
      <c r="A121" s="95">
        <f t="shared" si="17"/>
        <v>0</v>
      </c>
      <c r="B121" s="96"/>
      <c r="C121" s="96"/>
      <c r="D121" s="96"/>
      <c r="E121" s="96"/>
      <c r="F121" s="96"/>
      <c r="G121" s="96"/>
      <c r="H121" s="96"/>
    </row>
    <row r="122" spans="1:8">
      <c r="A122" s="95">
        <f t="shared" si="17"/>
        <v>0</v>
      </c>
      <c r="B122" s="96"/>
      <c r="C122" s="96"/>
      <c r="D122" s="96"/>
      <c r="E122" s="96"/>
      <c r="F122" s="96"/>
      <c r="G122" s="96"/>
      <c r="H122" s="96"/>
    </row>
    <row r="123" spans="1:8">
      <c r="A123" s="97" t="str">
        <f t="shared" si="17"/>
        <v>Pomegranate</v>
      </c>
      <c r="B123" s="96"/>
      <c r="C123" s="96"/>
      <c r="D123" s="96"/>
      <c r="E123" s="96"/>
      <c r="F123" s="96"/>
      <c r="G123" s="96"/>
      <c r="H123" s="96"/>
    </row>
    <row r="124" spans="1:8">
      <c r="A124" s="95" t="s">
        <v>532</v>
      </c>
      <c r="B124" s="96">
        <f>(B$62*50%)*0.7</f>
        <v>0</v>
      </c>
      <c r="C124" s="96">
        <f>(C$62*50%)*0.7</f>
        <v>0</v>
      </c>
      <c r="D124" s="96">
        <f t="shared" ref="D124:H126" si="18">(D$62*50%)*0.7</f>
        <v>0</v>
      </c>
      <c r="E124" s="96">
        <f t="shared" si="18"/>
        <v>0</v>
      </c>
      <c r="F124" s="96">
        <f t="shared" si="18"/>
        <v>0</v>
      </c>
      <c r="G124" s="96">
        <f t="shared" si="18"/>
        <v>0</v>
      </c>
      <c r="H124" s="96">
        <f t="shared" si="18"/>
        <v>0</v>
      </c>
    </row>
    <row r="125" spans="1:8">
      <c r="A125" s="95" t="s">
        <v>530</v>
      </c>
      <c r="B125" s="96">
        <f>(B$62*50%)*0.7*2</f>
        <v>0</v>
      </c>
      <c r="C125" s="96">
        <f>(C$62*50%)*0.7</f>
        <v>0</v>
      </c>
      <c r="D125" s="96">
        <f t="shared" si="18"/>
        <v>0</v>
      </c>
      <c r="E125" s="96">
        <f t="shared" si="18"/>
        <v>0</v>
      </c>
      <c r="F125" s="96">
        <f t="shared" si="18"/>
        <v>0</v>
      </c>
      <c r="G125" s="96">
        <f t="shared" si="18"/>
        <v>0</v>
      </c>
      <c r="H125" s="96">
        <f t="shared" si="18"/>
        <v>0</v>
      </c>
    </row>
    <row r="126" spans="1:8">
      <c r="A126" s="95" t="s">
        <v>531</v>
      </c>
      <c r="B126" s="96">
        <f>(B$62*0.3)*0.2</f>
        <v>0</v>
      </c>
      <c r="C126" s="96">
        <f>(C$62*50%)*0.7</f>
        <v>0</v>
      </c>
      <c r="D126" s="96">
        <f t="shared" si="18"/>
        <v>0</v>
      </c>
      <c r="E126" s="96">
        <f t="shared" si="18"/>
        <v>0</v>
      </c>
      <c r="F126" s="96">
        <f t="shared" si="18"/>
        <v>0</v>
      </c>
      <c r="G126" s="96">
        <f t="shared" si="18"/>
        <v>0</v>
      </c>
      <c r="H126" s="96">
        <f t="shared" si="18"/>
        <v>0</v>
      </c>
    </row>
    <row r="127" spans="1:8">
      <c r="A127" s="95" t="str">
        <f t="shared" ref="A127" si="19">A63</f>
        <v>Custard Apple</v>
      </c>
      <c r="B127" s="96"/>
      <c r="C127" s="96"/>
      <c r="D127" s="96"/>
      <c r="E127" s="96"/>
      <c r="F127" s="96"/>
      <c r="G127" s="96"/>
      <c r="H127" s="96"/>
    </row>
    <row r="128" spans="1:8">
      <c r="A128" s="95"/>
      <c r="B128" s="96"/>
      <c r="C128" s="96"/>
      <c r="D128" s="96"/>
      <c r="E128" s="96"/>
      <c r="F128" s="96"/>
      <c r="G128" s="96"/>
      <c r="H128" s="96"/>
    </row>
    <row r="129" spans="1:8">
      <c r="A129" s="95"/>
      <c r="B129" s="96"/>
      <c r="C129" s="96"/>
      <c r="D129" s="96"/>
      <c r="E129" s="96"/>
      <c r="F129" s="96"/>
      <c r="G129" s="96"/>
      <c r="H129" s="96"/>
    </row>
    <row r="130" spans="1:8">
      <c r="A130" s="95"/>
      <c r="B130" s="96"/>
      <c r="C130" s="96"/>
      <c r="D130" s="96"/>
      <c r="E130" s="96"/>
      <c r="F130" s="96"/>
      <c r="G130" s="96"/>
      <c r="H130" s="96"/>
    </row>
    <row r="131" spans="1:8">
      <c r="A131" s="95" t="str">
        <f>A64</f>
        <v>Guava</v>
      </c>
      <c r="B131" s="96"/>
      <c r="C131" s="96"/>
      <c r="D131" s="96"/>
      <c r="E131" s="96"/>
      <c r="F131" s="96"/>
      <c r="G131" s="96"/>
      <c r="H131" s="96"/>
    </row>
    <row r="132" spans="1:8">
      <c r="A132" s="95"/>
      <c r="B132" s="96"/>
      <c r="C132" s="96"/>
      <c r="D132" s="96"/>
      <c r="E132" s="96"/>
      <c r="F132" s="96"/>
      <c r="G132" s="96"/>
      <c r="H132" s="96"/>
    </row>
    <row r="133" spans="1:8">
      <c r="A133" s="95"/>
      <c r="B133" s="96"/>
      <c r="C133" s="96"/>
      <c r="D133" s="96"/>
      <c r="E133" s="96"/>
      <c r="F133" s="96"/>
      <c r="G133" s="96"/>
      <c r="H133" s="96"/>
    </row>
    <row r="134" spans="1:8">
      <c r="A134" s="95"/>
      <c r="B134" s="96"/>
      <c r="C134" s="96"/>
      <c r="D134" s="96"/>
      <c r="E134" s="96"/>
      <c r="F134" s="96"/>
      <c r="G134" s="96"/>
      <c r="H134" s="96"/>
    </row>
    <row r="135" spans="1:8">
      <c r="A135" s="95" t="str">
        <f>A65</f>
        <v>Citrus</v>
      </c>
      <c r="B135" s="96"/>
      <c r="C135" s="96"/>
      <c r="D135" s="96"/>
      <c r="E135" s="96"/>
      <c r="F135" s="96"/>
      <c r="G135" s="96"/>
      <c r="H135" s="96"/>
    </row>
    <row r="136" spans="1:8">
      <c r="A136" s="95"/>
      <c r="B136" s="96"/>
      <c r="C136" s="96"/>
      <c r="D136" s="96"/>
      <c r="E136" s="96"/>
      <c r="F136" s="96"/>
      <c r="G136" s="96"/>
      <c r="H136" s="96"/>
    </row>
    <row r="137" spans="1:8">
      <c r="A137" s="95"/>
      <c r="B137" s="96"/>
      <c r="C137" s="96"/>
      <c r="D137" s="96"/>
      <c r="E137" s="96"/>
      <c r="F137" s="96"/>
      <c r="G137" s="96"/>
      <c r="H137" s="96"/>
    </row>
    <row r="138" spans="1:8">
      <c r="A138" s="95"/>
      <c r="B138" s="96"/>
      <c r="C138" s="96"/>
      <c r="D138" s="96"/>
      <c r="E138" s="96"/>
      <c r="F138" s="96"/>
      <c r="G138" s="96"/>
      <c r="H138" s="96"/>
    </row>
    <row r="139" spans="1:8">
      <c r="A139" s="186"/>
      <c r="B139" s="310"/>
      <c r="C139" s="310"/>
      <c r="D139" s="310"/>
      <c r="E139" s="310"/>
      <c r="F139" s="310"/>
      <c r="G139" s="310"/>
      <c r="H139" s="310"/>
    </row>
    <row r="140" spans="1:8">
      <c r="A140" s="187" t="s">
        <v>456</v>
      </c>
    </row>
    <row r="141" spans="1:8">
      <c r="A141" t="s">
        <v>535</v>
      </c>
      <c r="B141" s="29">
        <f t="shared" ref="B141:C143" si="20">(B124*100)</f>
        <v>0</v>
      </c>
      <c r="C141" s="29">
        <f t="shared" si="20"/>
        <v>0</v>
      </c>
      <c r="D141" s="29">
        <f t="shared" ref="D141:H141" si="21">(D124*100)</f>
        <v>0</v>
      </c>
      <c r="E141" s="29">
        <f t="shared" si="21"/>
        <v>0</v>
      </c>
      <c r="F141" s="29">
        <f t="shared" si="21"/>
        <v>0</v>
      </c>
      <c r="G141" s="29">
        <f t="shared" si="21"/>
        <v>0</v>
      </c>
      <c r="H141" s="29">
        <f t="shared" si="21"/>
        <v>0</v>
      </c>
    </row>
    <row r="142" spans="1:8">
      <c r="A142" t="s">
        <v>536</v>
      </c>
      <c r="B142" s="29">
        <f t="shared" si="20"/>
        <v>0</v>
      </c>
      <c r="C142" s="29">
        <f t="shared" si="20"/>
        <v>0</v>
      </c>
      <c r="D142" s="29">
        <f t="shared" ref="D142:H142" si="22">(D125*100)</f>
        <v>0</v>
      </c>
      <c r="E142" s="29">
        <f t="shared" si="22"/>
        <v>0</v>
      </c>
      <c r="F142" s="29">
        <f t="shared" si="22"/>
        <v>0</v>
      </c>
      <c r="G142" s="29">
        <f t="shared" si="22"/>
        <v>0</v>
      </c>
      <c r="H142" s="29">
        <f t="shared" si="22"/>
        <v>0</v>
      </c>
    </row>
    <row r="143" spans="1:8">
      <c r="A143" t="s">
        <v>537</v>
      </c>
      <c r="B143" s="29">
        <f t="shared" si="20"/>
        <v>0</v>
      </c>
      <c r="C143" s="29">
        <f t="shared" si="20"/>
        <v>0</v>
      </c>
      <c r="D143" s="29">
        <f t="shared" ref="D143:H143" si="23">(D126*100)</f>
        <v>0</v>
      </c>
      <c r="E143" s="29">
        <f t="shared" si="23"/>
        <v>0</v>
      </c>
      <c r="F143" s="29">
        <f t="shared" si="23"/>
        <v>0</v>
      </c>
      <c r="G143" s="29">
        <f t="shared" si="23"/>
        <v>0</v>
      </c>
      <c r="H143" s="29">
        <f t="shared" si="23"/>
        <v>0</v>
      </c>
    </row>
    <row r="145" spans="1:10">
      <c r="B145" s="29"/>
      <c r="C145" s="29"/>
    </row>
    <row r="146" spans="1:10">
      <c r="B146" s="29"/>
      <c r="C146" s="29"/>
      <c r="D146" s="29"/>
    </row>
    <row r="147" spans="1:10" ht="18.75">
      <c r="A147" s="417" t="s">
        <v>607</v>
      </c>
      <c r="B147" s="417"/>
      <c r="C147" s="417"/>
      <c r="D147" s="417"/>
      <c r="E147" s="417"/>
      <c r="F147" s="417"/>
      <c r="G147" s="417"/>
      <c r="H147" s="417"/>
      <c r="I147" s="417"/>
      <c r="J147" s="417"/>
    </row>
    <row r="148" spans="1:10">
      <c r="A148" s="322"/>
      <c r="B148" s="322"/>
      <c r="C148" s="322"/>
      <c r="D148" s="322"/>
      <c r="E148" s="322"/>
      <c r="F148" s="322"/>
      <c r="G148" s="322"/>
      <c r="H148" s="322"/>
    </row>
    <row r="149" spans="1:10">
      <c r="A149" s="325"/>
      <c r="B149" s="325"/>
      <c r="C149" s="325"/>
      <c r="D149" s="193">
        <v>1</v>
      </c>
      <c r="E149" s="194">
        <f>(D149*5%)+D149</f>
        <v>1.05</v>
      </c>
      <c r="F149" s="194">
        <f t="shared" ref="F149:J149" si="24">(E149*5%)+E149</f>
        <v>1.1025</v>
      </c>
      <c r="G149" s="194">
        <f t="shared" si="24"/>
        <v>1.1576250000000001</v>
      </c>
      <c r="H149" s="194">
        <f t="shared" si="24"/>
        <v>1.2155062500000002</v>
      </c>
      <c r="I149" s="194">
        <f t="shared" si="24"/>
        <v>1.2762815625000004</v>
      </c>
      <c r="J149" s="194">
        <f t="shared" si="24"/>
        <v>1.3400956406250004</v>
      </c>
    </row>
    <row r="150" spans="1:10">
      <c r="A150" s="94"/>
      <c r="B150" s="94"/>
      <c r="C150" s="94"/>
      <c r="D150" s="94"/>
      <c r="E150" s="94"/>
      <c r="F150" s="94"/>
      <c r="G150" s="94"/>
      <c r="H150" s="94"/>
      <c r="I150" s="94"/>
      <c r="J150" s="94"/>
    </row>
    <row r="151" spans="1:10">
      <c r="A151" s="148" t="s">
        <v>0</v>
      </c>
      <c r="B151" s="148" t="s">
        <v>133</v>
      </c>
      <c r="C151" s="148" t="s">
        <v>154</v>
      </c>
      <c r="D151" s="120" t="s">
        <v>2</v>
      </c>
      <c r="E151" s="120" t="s">
        <v>3</v>
      </c>
      <c r="F151" s="120" t="s">
        <v>4</v>
      </c>
      <c r="G151" s="120" t="s">
        <v>5</v>
      </c>
      <c r="H151" s="120" t="s">
        <v>6</v>
      </c>
      <c r="I151" s="120" t="s">
        <v>171</v>
      </c>
      <c r="J151" s="120" t="s">
        <v>170</v>
      </c>
    </row>
    <row r="152" spans="1:10">
      <c r="A152" s="95"/>
      <c r="B152" s="95"/>
      <c r="C152" s="95"/>
      <c r="D152" s="95"/>
      <c r="E152" s="95"/>
      <c r="F152" s="95"/>
      <c r="G152" s="95"/>
      <c r="H152" s="95"/>
      <c r="I152" s="95"/>
      <c r="J152" s="95"/>
    </row>
    <row r="153" spans="1:10">
      <c r="A153" s="97" t="s">
        <v>127</v>
      </c>
      <c r="B153" s="97"/>
      <c r="C153" s="97"/>
      <c r="D153" s="114"/>
      <c r="E153" s="114"/>
      <c r="F153" s="114"/>
      <c r="G153" s="114"/>
      <c r="H153" s="114"/>
      <c r="I153" s="95"/>
      <c r="J153" s="95"/>
    </row>
    <row r="154" spans="1:10">
      <c r="A154" s="95" t="str">
        <f>A124</f>
        <v>Pomegranate Arils</v>
      </c>
      <c r="B154" s="233" t="s">
        <v>534</v>
      </c>
      <c r="C154" s="233">
        <v>150</v>
      </c>
      <c r="D154" s="96">
        <f>(B141*(1-'5.Closing Stock &amp; W Capital'!$D$18)*$C154*D$149)</f>
        <v>0</v>
      </c>
      <c r="E154" s="96">
        <f>(((C141*(1-'5.Closing Stock &amp; W Capital'!$D$18))+(B141*'5.Closing Stock &amp; W Capital'!$D$18))*$C154*E$149)</f>
        <v>0</v>
      </c>
      <c r="F154" s="96">
        <f>(((D141*(1-'5.Closing Stock &amp; W Capital'!$D$18))+(C141*'5.Closing Stock &amp; W Capital'!$D$18))*$C154*F$149)</f>
        <v>0</v>
      </c>
      <c r="G154" s="96">
        <f>(((E141*(1-'5.Closing Stock &amp; W Capital'!$D$18))+(D141*'5.Closing Stock &amp; W Capital'!$D$18))*$C154*G$149)</f>
        <v>0</v>
      </c>
      <c r="H154" s="96">
        <f>(((F141*(1-'5.Closing Stock &amp; W Capital'!$D$18))+(E141*'5.Closing Stock &amp; W Capital'!$D$18))*$C154*H$149)</f>
        <v>0</v>
      </c>
      <c r="I154" s="96">
        <f>(((G141*(1-'5.Closing Stock &amp; W Capital'!$D$18))+(F141*'5.Closing Stock &amp; W Capital'!$D$18))*$C154*I$149)</f>
        <v>0</v>
      </c>
      <c r="J154" s="96">
        <f>(((H141*(1-'5.Closing Stock &amp; W Capital'!$D$18))+(G141*'5.Closing Stock &amp; W Capital'!$D$18))*$C154*J$149)</f>
        <v>0</v>
      </c>
    </row>
    <row r="155" spans="1:10">
      <c r="A155" s="95" t="str">
        <f>A125</f>
        <v>Pomegranate Juice</v>
      </c>
      <c r="B155" s="233" t="s">
        <v>533</v>
      </c>
      <c r="C155" s="233">
        <v>40</v>
      </c>
      <c r="D155" s="96">
        <f>(B142*(1-'5.Closing Stock &amp; W Capital'!$D$18)*$C155*D$149)</f>
        <v>0</v>
      </c>
      <c r="E155" s="96">
        <f>(((C142*(1-'5.Closing Stock &amp; W Capital'!$D$18))+(B142*'5.Closing Stock &amp; W Capital'!$D$18))*$C155*E$149)</f>
        <v>0</v>
      </c>
      <c r="F155" s="96">
        <f>(((D142*(1-'5.Closing Stock &amp; W Capital'!$D$18))+(C142*'5.Closing Stock &amp; W Capital'!$D$18))*$C155*F$149)</f>
        <v>0</v>
      </c>
      <c r="G155" s="96">
        <f>(((E142*(1-'5.Closing Stock &amp; W Capital'!$D$18))+(D142*'5.Closing Stock &amp; W Capital'!$D$18))*$C155*G$149)</f>
        <v>0</v>
      </c>
      <c r="H155" s="96">
        <f>(((F142*(1-'5.Closing Stock &amp; W Capital'!$D$18))+(E142*'5.Closing Stock &amp; W Capital'!$D$18))*$C155*H$149)</f>
        <v>0</v>
      </c>
      <c r="I155" s="96">
        <f>(((G142*(1-'5.Closing Stock &amp; W Capital'!$D$18))+(F142*'5.Closing Stock &amp; W Capital'!$D$18))*$C155*I$149)</f>
        <v>0</v>
      </c>
      <c r="J155" s="96">
        <f>(((H142*(1-'5.Closing Stock &amp; W Capital'!$D$18))+(G142*'5.Closing Stock &amp; W Capital'!$D$18))*$C155*J$149)</f>
        <v>0</v>
      </c>
    </row>
    <row r="156" spans="1:10">
      <c r="A156" s="95" t="str">
        <f>A126</f>
        <v>Pomegranate Powder</v>
      </c>
      <c r="B156" s="233" t="s">
        <v>367</v>
      </c>
      <c r="C156" s="233">
        <v>50</v>
      </c>
      <c r="D156" s="96">
        <f>(B143*(1-'5.Closing Stock &amp; W Capital'!$D$18)*$C156*D$149)</f>
        <v>0</v>
      </c>
      <c r="E156" s="96">
        <f>(((C143*(1-'5.Closing Stock &amp; W Capital'!$D$18))+(B143*'5.Closing Stock &amp; W Capital'!$D$18))*$C156*E$149)</f>
        <v>0</v>
      </c>
      <c r="F156" s="96">
        <f>(((D143*(1-'5.Closing Stock &amp; W Capital'!$D$18))+(C143*'5.Closing Stock &amp; W Capital'!$D$18))*$C156*F$149)</f>
        <v>0</v>
      </c>
      <c r="G156" s="96">
        <f>(((E143*(1-'5.Closing Stock &amp; W Capital'!$D$18))+(D143*'5.Closing Stock &amp; W Capital'!$D$18))*$C156*G$149)</f>
        <v>0</v>
      </c>
      <c r="H156" s="96">
        <f>(((F143*(1-'5.Closing Stock &amp; W Capital'!$D$18))+(E143*'5.Closing Stock &amp; W Capital'!$D$18))*$C156*H$149)</f>
        <v>0</v>
      </c>
      <c r="I156" s="96">
        <f>(((G143*(1-'5.Closing Stock &amp; W Capital'!$D$18))+(F143*'5.Closing Stock &amp; W Capital'!$D$18))*$C156*I$149)</f>
        <v>0</v>
      </c>
      <c r="J156" s="96">
        <f>(((H143*(1-'5.Closing Stock &amp; W Capital'!$D$18))+(G143*'5.Closing Stock &amp; W Capital'!$D$18))*$C156*J$149)</f>
        <v>0</v>
      </c>
    </row>
    <row r="157" spans="1:10">
      <c r="A157" s="95"/>
      <c r="B157" s="233"/>
      <c r="C157" s="233"/>
      <c r="D157" s="96"/>
      <c r="E157" s="96"/>
      <c r="F157" s="96"/>
      <c r="G157" s="96"/>
      <c r="H157" s="96"/>
      <c r="I157" s="96"/>
      <c r="J157" s="96"/>
    </row>
    <row r="158" spans="1:10">
      <c r="A158" s="95"/>
      <c r="B158" s="95"/>
      <c r="C158" s="95"/>
      <c r="D158" s="96"/>
      <c r="E158" s="96"/>
      <c r="F158" s="96"/>
      <c r="G158" s="96"/>
      <c r="H158" s="96"/>
      <c r="I158" s="96"/>
      <c r="J158" s="96"/>
    </row>
    <row r="159" spans="1:10">
      <c r="A159" s="97" t="s">
        <v>127</v>
      </c>
      <c r="B159" s="97"/>
      <c r="C159" s="97"/>
      <c r="D159" s="115">
        <f t="shared" ref="D159:J159" si="25">SUM(D154:D157)</f>
        <v>0</v>
      </c>
      <c r="E159" s="115">
        <f t="shared" si="25"/>
        <v>0</v>
      </c>
      <c r="F159" s="115">
        <f t="shared" si="25"/>
        <v>0</v>
      </c>
      <c r="G159" s="115">
        <f t="shared" si="25"/>
        <v>0</v>
      </c>
      <c r="H159" s="115">
        <f t="shared" si="25"/>
        <v>0</v>
      </c>
      <c r="I159" s="115">
        <f t="shared" si="25"/>
        <v>0</v>
      </c>
      <c r="J159" s="115">
        <f t="shared" si="25"/>
        <v>0</v>
      </c>
    </row>
    <row r="160" spans="1:10">
      <c r="A160" s="95"/>
      <c r="B160" s="95"/>
      <c r="C160" s="95"/>
      <c r="D160" s="96"/>
      <c r="E160" s="96"/>
      <c r="F160" s="96"/>
      <c r="G160" s="96"/>
      <c r="H160" s="96"/>
      <c r="I160" s="96"/>
      <c r="J160" s="96"/>
    </row>
    <row r="161" spans="1:10">
      <c r="A161" s="97" t="s">
        <v>143</v>
      </c>
      <c r="B161" s="97"/>
      <c r="C161" s="97"/>
      <c r="D161" s="96"/>
      <c r="E161" s="96"/>
      <c r="F161" s="96"/>
      <c r="G161" s="96"/>
      <c r="H161" s="96"/>
      <c r="I161" s="96"/>
      <c r="J161" s="96"/>
    </row>
    <row r="162" spans="1:10">
      <c r="A162" s="97" t="s">
        <v>316</v>
      </c>
      <c r="B162" s="97"/>
      <c r="C162" s="95"/>
      <c r="D162" s="96"/>
      <c r="E162" s="96"/>
      <c r="F162" s="96"/>
      <c r="G162" s="96"/>
      <c r="H162" s="96"/>
      <c r="I162" s="96"/>
      <c r="J162" s="96"/>
    </row>
    <row r="163" spans="1:10">
      <c r="A163" s="99" t="s">
        <v>538</v>
      </c>
      <c r="B163" s="233" t="s">
        <v>368</v>
      </c>
      <c r="C163" s="257">
        <v>6000</v>
      </c>
      <c r="D163" s="96">
        <f>B62*$C163*D$149</f>
        <v>0</v>
      </c>
      <c r="E163" s="96">
        <f>C62*$C163*E$149</f>
        <v>0</v>
      </c>
      <c r="F163" s="96">
        <f t="shared" ref="F163:J163" si="26">D62*$C163*F$149</f>
        <v>0</v>
      </c>
      <c r="G163" s="96">
        <f t="shared" si="26"/>
        <v>0</v>
      </c>
      <c r="H163" s="96">
        <f t="shared" si="26"/>
        <v>0</v>
      </c>
      <c r="I163" s="96">
        <f t="shared" si="26"/>
        <v>0</v>
      </c>
      <c r="J163" s="96">
        <f t="shared" si="26"/>
        <v>0</v>
      </c>
    </row>
    <row r="164" spans="1:10">
      <c r="A164" s="95" t="s">
        <v>539</v>
      </c>
      <c r="B164" s="233" t="s">
        <v>368</v>
      </c>
      <c r="C164" s="233">
        <v>2000</v>
      </c>
      <c r="D164" s="96">
        <f>(B62*10%)*$C164*D$149</f>
        <v>0</v>
      </c>
      <c r="E164" s="96">
        <f t="shared" ref="E164:J164" si="27">(C62*10%)*$C164*E$149</f>
        <v>0</v>
      </c>
      <c r="F164" s="96">
        <f t="shared" si="27"/>
        <v>0</v>
      </c>
      <c r="G164" s="96">
        <f t="shared" si="27"/>
        <v>0</v>
      </c>
      <c r="H164" s="96">
        <f t="shared" si="27"/>
        <v>0</v>
      </c>
      <c r="I164" s="96">
        <f t="shared" si="27"/>
        <v>0</v>
      </c>
      <c r="J164" s="96">
        <f t="shared" si="27"/>
        <v>0</v>
      </c>
    </row>
    <row r="165" spans="1:10">
      <c r="A165" s="95" t="s">
        <v>325</v>
      </c>
      <c r="B165" s="233">
        <v>5</v>
      </c>
      <c r="C165" s="233">
        <v>300</v>
      </c>
      <c r="D165" s="96">
        <f t="shared" ref="D165:J165" si="28">B12*$B$165*$C$165*D149</f>
        <v>0</v>
      </c>
      <c r="E165" s="96">
        <f t="shared" si="28"/>
        <v>0</v>
      </c>
      <c r="F165" s="96">
        <f t="shared" si="28"/>
        <v>0</v>
      </c>
      <c r="G165" s="96">
        <f t="shared" si="28"/>
        <v>0</v>
      </c>
      <c r="H165" s="96">
        <f t="shared" si="28"/>
        <v>0</v>
      </c>
      <c r="I165" s="96">
        <f t="shared" si="28"/>
        <v>0</v>
      </c>
      <c r="J165" s="96">
        <f t="shared" si="28"/>
        <v>0</v>
      </c>
    </row>
    <row r="166" spans="1:10">
      <c r="A166" s="95" t="s">
        <v>145</v>
      </c>
      <c r="B166" s="95">
        <f>'2.Capex Details'!H60*0.746*8</f>
        <v>0</v>
      </c>
      <c r="C166" s="233">
        <v>8</v>
      </c>
      <c r="D166" s="96">
        <f t="shared" ref="D166:J166" si="29">$B$166*$C$166*B12*D149</f>
        <v>0</v>
      </c>
      <c r="E166" s="96">
        <f t="shared" si="29"/>
        <v>0</v>
      </c>
      <c r="F166" s="96">
        <f t="shared" si="29"/>
        <v>0</v>
      </c>
      <c r="G166" s="96">
        <f t="shared" si="29"/>
        <v>0</v>
      </c>
      <c r="H166" s="96">
        <f t="shared" si="29"/>
        <v>0</v>
      </c>
      <c r="I166" s="96">
        <f t="shared" si="29"/>
        <v>0</v>
      </c>
      <c r="J166" s="96">
        <f t="shared" si="29"/>
        <v>0</v>
      </c>
    </row>
    <row r="167" spans="1:10">
      <c r="A167" s="95" t="s">
        <v>299</v>
      </c>
      <c r="B167" s="95" t="s">
        <v>368</v>
      </c>
      <c r="C167" s="233">
        <v>10</v>
      </c>
      <c r="D167" s="96">
        <f>B62*$C167*D$149</f>
        <v>0</v>
      </c>
      <c r="E167" s="96">
        <f t="shared" ref="E167:J167" si="30">C62*$C167*E$149</f>
        <v>0</v>
      </c>
      <c r="F167" s="96">
        <f t="shared" si="30"/>
        <v>0</v>
      </c>
      <c r="G167" s="96">
        <f t="shared" si="30"/>
        <v>0</v>
      </c>
      <c r="H167" s="96">
        <f t="shared" si="30"/>
        <v>0</v>
      </c>
      <c r="I167" s="96">
        <f t="shared" si="30"/>
        <v>0</v>
      </c>
      <c r="J167" s="96">
        <f t="shared" si="30"/>
        <v>0</v>
      </c>
    </row>
    <row r="168" spans="1:10">
      <c r="A168" s="109" t="s">
        <v>300</v>
      </c>
      <c r="B168" s="109"/>
      <c r="C168" s="259">
        <v>2</v>
      </c>
      <c r="D168" s="96">
        <f>SUM(B141:B143)*$C$168*D$149</f>
        <v>0</v>
      </c>
      <c r="E168" s="96">
        <f t="shared" ref="E168:J168" si="31">SUM(C141:C143)*$C$168*E$149</f>
        <v>0</v>
      </c>
      <c r="F168" s="96">
        <f t="shared" si="31"/>
        <v>0</v>
      </c>
      <c r="G168" s="96">
        <f t="shared" si="31"/>
        <v>0</v>
      </c>
      <c r="H168" s="96">
        <f t="shared" si="31"/>
        <v>0</v>
      </c>
      <c r="I168" s="96">
        <f t="shared" si="31"/>
        <v>0</v>
      </c>
      <c r="J168" s="96">
        <f t="shared" si="31"/>
        <v>0</v>
      </c>
    </row>
    <row r="169" spans="1:10">
      <c r="A169" s="95" t="s">
        <v>301</v>
      </c>
      <c r="B169" s="95"/>
      <c r="C169" s="233">
        <v>1</v>
      </c>
      <c r="D169" s="96">
        <f>SUM(B141:B143)*$C$169*D$149</f>
        <v>0</v>
      </c>
      <c r="E169" s="96">
        <f t="shared" ref="E169:J169" si="32">SUM(C141:C143)*$C$169*E$149</f>
        <v>0</v>
      </c>
      <c r="F169" s="96">
        <f t="shared" si="32"/>
        <v>0</v>
      </c>
      <c r="G169" s="96">
        <f t="shared" si="32"/>
        <v>0</v>
      </c>
      <c r="H169" s="96">
        <f t="shared" si="32"/>
        <v>0</v>
      </c>
      <c r="I169" s="96">
        <f t="shared" si="32"/>
        <v>0</v>
      </c>
      <c r="J169" s="96">
        <f t="shared" si="32"/>
        <v>0</v>
      </c>
    </row>
    <row r="170" spans="1:10">
      <c r="A170" s="10"/>
      <c r="B170" s="10"/>
      <c r="C170" s="10"/>
      <c r="D170" s="10"/>
      <c r="E170" s="10"/>
      <c r="F170" s="10"/>
      <c r="G170" s="10"/>
      <c r="H170" s="10"/>
      <c r="I170" s="10"/>
      <c r="J170" s="10"/>
    </row>
    <row r="171" spans="1:10">
      <c r="A171" s="10"/>
      <c r="B171" s="10"/>
      <c r="C171" s="10"/>
      <c r="D171" s="10"/>
      <c r="E171" s="10"/>
      <c r="F171" s="10"/>
      <c r="G171" s="10"/>
      <c r="H171" s="10"/>
      <c r="I171" s="10"/>
      <c r="J171" s="10"/>
    </row>
    <row r="172" spans="1:10">
      <c r="A172" s="10"/>
      <c r="B172" s="10"/>
      <c r="C172" s="10"/>
      <c r="D172" s="10"/>
      <c r="E172" s="10"/>
      <c r="F172" s="10"/>
      <c r="G172" s="10"/>
      <c r="H172" s="10"/>
      <c r="I172" s="10"/>
      <c r="J172" s="10"/>
    </row>
    <row r="173" spans="1:10">
      <c r="A173" s="10"/>
      <c r="B173" s="10"/>
      <c r="C173" s="10"/>
      <c r="D173" s="10"/>
      <c r="E173" s="10"/>
      <c r="F173" s="10"/>
      <c r="G173" s="10"/>
      <c r="H173" s="10"/>
      <c r="I173" s="10"/>
      <c r="J173" s="10"/>
    </row>
    <row r="174" spans="1:10">
      <c r="A174" s="195" t="s">
        <v>348</v>
      </c>
      <c r="B174" s="96"/>
      <c r="C174" s="96"/>
      <c r="D174" s="96">
        <v>0</v>
      </c>
      <c r="E174" s="96">
        <v>0</v>
      </c>
      <c r="F174" s="96">
        <v>0</v>
      </c>
      <c r="G174" s="96">
        <v>0</v>
      </c>
      <c r="H174" s="96">
        <v>0</v>
      </c>
      <c r="I174" s="96">
        <v>0</v>
      </c>
      <c r="J174" s="96">
        <v>0</v>
      </c>
    </row>
    <row r="175" spans="1:10">
      <c r="A175" s="195" t="s">
        <v>349</v>
      </c>
      <c r="B175" s="96"/>
      <c r="C175" s="96"/>
      <c r="D175" s="96">
        <v>0</v>
      </c>
      <c r="E175" s="96">
        <v>0</v>
      </c>
      <c r="F175" s="96">
        <v>0</v>
      </c>
      <c r="G175" s="96">
        <v>0</v>
      </c>
      <c r="H175" s="96">
        <v>0</v>
      </c>
      <c r="I175" s="96">
        <v>0</v>
      </c>
      <c r="J175" s="96">
        <v>0</v>
      </c>
    </row>
    <row r="176" spans="1:10">
      <c r="A176" s="96"/>
      <c r="B176" s="96"/>
      <c r="C176" s="96"/>
      <c r="D176" s="96"/>
      <c r="E176" s="96"/>
      <c r="F176" s="96"/>
      <c r="G176" s="96"/>
      <c r="H176" s="96"/>
      <c r="I176" s="96"/>
      <c r="J176" s="96"/>
    </row>
    <row r="177" spans="1:10">
      <c r="A177" s="115" t="s">
        <v>326</v>
      </c>
      <c r="B177" s="96"/>
      <c r="C177" s="96"/>
      <c r="D177" s="115">
        <f t="shared" ref="D177:J177" si="33">SUM(D163:D174)-D175</f>
        <v>0</v>
      </c>
      <c r="E177" s="115">
        <f t="shared" si="33"/>
        <v>0</v>
      </c>
      <c r="F177" s="115">
        <f t="shared" si="33"/>
        <v>0</v>
      </c>
      <c r="G177" s="115">
        <f t="shared" si="33"/>
        <v>0</v>
      </c>
      <c r="H177" s="115">
        <f t="shared" si="33"/>
        <v>0</v>
      </c>
      <c r="I177" s="115">
        <f t="shared" si="33"/>
        <v>0</v>
      </c>
      <c r="J177" s="115">
        <f t="shared" si="33"/>
        <v>0</v>
      </c>
    </row>
    <row r="178" spans="1:10">
      <c r="A178" s="94"/>
      <c r="B178" s="94"/>
      <c r="C178" s="94"/>
      <c r="D178" s="94"/>
      <c r="E178" s="94"/>
      <c r="F178" s="94"/>
      <c r="G178" s="94"/>
      <c r="H178" s="94"/>
      <c r="I178" s="94"/>
      <c r="J178" s="94"/>
    </row>
    <row r="179" spans="1:10">
      <c r="A179" s="196" t="s">
        <v>314</v>
      </c>
      <c r="B179" s="196"/>
      <c r="C179" s="196"/>
      <c r="D179" s="115"/>
      <c r="E179" s="115"/>
      <c r="F179" s="115"/>
      <c r="G179" s="115"/>
      <c r="H179" s="115"/>
      <c r="I179" s="115"/>
      <c r="J179" s="115"/>
    </row>
    <row r="180" spans="1:10">
      <c r="A180" s="95" t="s">
        <v>190</v>
      </c>
      <c r="B180" s="233">
        <v>1</v>
      </c>
      <c r="C180" s="257"/>
      <c r="D180" s="96">
        <f t="shared" ref="D180:J180" si="34">$B$180*$C$180*12*D149</f>
        <v>0</v>
      </c>
      <c r="E180" s="96">
        <f t="shared" si="34"/>
        <v>0</v>
      </c>
      <c r="F180" s="96">
        <f t="shared" si="34"/>
        <v>0</v>
      </c>
      <c r="G180" s="96">
        <f t="shared" si="34"/>
        <v>0</v>
      </c>
      <c r="H180" s="96">
        <f t="shared" si="34"/>
        <v>0</v>
      </c>
      <c r="I180" s="96">
        <f t="shared" si="34"/>
        <v>0</v>
      </c>
      <c r="J180" s="96">
        <f t="shared" si="34"/>
        <v>0</v>
      </c>
    </row>
    <row r="181" spans="1:10">
      <c r="A181" s="95" t="s">
        <v>195</v>
      </c>
      <c r="B181" s="233">
        <v>2</v>
      </c>
      <c r="C181" s="257"/>
      <c r="D181" s="96">
        <f t="shared" ref="D181:J181" si="35">$B$181*$C$181*12*D149</f>
        <v>0</v>
      </c>
      <c r="E181" s="96">
        <f t="shared" si="35"/>
        <v>0</v>
      </c>
      <c r="F181" s="96">
        <f t="shared" si="35"/>
        <v>0</v>
      </c>
      <c r="G181" s="96">
        <f t="shared" si="35"/>
        <v>0</v>
      </c>
      <c r="H181" s="96">
        <f t="shared" si="35"/>
        <v>0</v>
      </c>
      <c r="I181" s="96">
        <f t="shared" si="35"/>
        <v>0</v>
      </c>
      <c r="J181" s="96">
        <f t="shared" si="35"/>
        <v>0</v>
      </c>
    </row>
    <row r="182" spans="1:10">
      <c r="A182" s="95"/>
      <c r="B182" s="233"/>
      <c r="C182" s="257"/>
      <c r="D182" s="96"/>
      <c r="E182" s="96"/>
      <c r="F182" s="96"/>
      <c r="G182" s="96"/>
      <c r="H182" s="96"/>
      <c r="I182" s="96"/>
      <c r="J182" s="96"/>
    </row>
    <row r="183" spans="1:10">
      <c r="A183" s="95"/>
      <c r="B183" s="233"/>
      <c r="C183" s="257"/>
      <c r="D183" s="96"/>
      <c r="E183" s="96"/>
      <c r="F183" s="96"/>
      <c r="G183" s="96"/>
      <c r="H183" s="96"/>
      <c r="I183" s="96"/>
      <c r="J183" s="96"/>
    </row>
    <row r="184" spans="1:10">
      <c r="A184" s="95"/>
      <c r="B184" s="233"/>
      <c r="C184" s="257"/>
      <c r="D184" s="96"/>
      <c r="E184" s="96"/>
      <c r="F184" s="96"/>
      <c r="G184" s="96"/>
      <c r="H184" s="96"/>
      <c r="I184" s="96"/>
      <c r="J184" s="96"/>
    </row>
    <row r="185" spans="1:10">
      <c r="A185" s="97" t="s">
        <v>314</v>
      </c>
      <c r="B185" s="97"/>
      <c r="C185" s="97"/>
      <c r="D185" s="115">
        <f>SUM(D180:D184)</f>
        <v>0</v>
      </c>
      <c r="E185" s="115">
        <f t="shared" ref="E185:J185" si="36">SUM(E180:E184)</f>
        <v>0</v>
      </c>
      <c r="F185" s="115">
        <f t="shared" si="36"/>
        <v>0</v>
      </c>
      <c r="G185" s="115">
        <f t="shared" si="36"/>
        <v>0</v>
      </c>
      <c r="H185" s="115">
        <f t="shared" si="36"/>
        <v>0</v>
      </c>
      <c r="I185" s="115">
        <f t="shared" si="36"/>
        <v>0</v>
      </c>
      <c r="J185" s="115">
        <f t="shared" si="36"/>
        <v>0</v>
      </c>
    </row>
    <row r="186" spans="1:10">
      <c r="A186" s="196" t="s">
        <v>302</v>
      </c>
      <c r="B186" s="196"/>
      <c r="C186" s="196"/>
      <c r="D186" s="115">
        <f>D177+D185</f>
        <v>0</v>
      </c>
      <c r="E186" s="115">
        <f t="shared" ref="E186:J186" si="37">E177+E185</f>
        <v>0</v>
      </c>
      <c r="F186" s="115">
        <f t="shared" si="37"/>
        <v>0</v>
      </c>
      <c r="G186" s="115">
        <f t="shared" si="37"/>
        <v>0</v>
      </c>
      <c r="H186" s="115">
        <f t="shared" si="37"/>
        <v>0</v>
      </c>
      <c r="I186" s="115">
        <f t="shared" si="37"/>
        <v>0</v>
      </c>
      <c r="J186" s="115">
        <f t="shared" si="37"/>
        <v>0</v>
      </c>
    </row>
    <row r="187" spans="1:10">
      <c r="A187" s="95"/>
      <c r="B187" s="95"/>
      <c r="C187" s="95"/>
      <c r="D187" s="96"/>
      <c r="E187" s="96"/>
      <c r="F187" s="96"/>
      <c r="G187" s="96"/>
      <c r="H187" s="96"/>
      <c r="I187" s="96"/>
      <c r="J187" s="96"/>
    </row>
    <row r="188" spans="1:10">
      <c r="A188" s="97" t="s">
        <v>7</v>
      </c>
      <c r="B188" s="97"/>
      <c r="C188" s="97"/>
      <c r="D188" s="115">
        <f t="shared" ref="D188:J188" si="38">D159-D186</f>
        <v>0</v>
      </c>
      <c r="E188" s="115">
        <f t="shared" si="38"/>
        <v>0</v>
      </c>
      <c r="F188" s="115">
        <f t="shared" si="38"/>
        <v>0</v>
      </c>
      <c r="G188" s="115">
        <f t="shared" si="38"/>
        <v>0</v>
      </c>
      <c r="H188" s="115">
        <f t="shared" si="38"/>
        <v>0</v>
      </c>
      <c r="I188" s="115">
        <f t="shared" si="38"/>
        <v>0</v>
      </c>
      <c r="J188" s="115">
        <f t="shared" si="38"/>
        <v>0</v>
      </c>
    </row>
    <row r="189" spans="1:10">
      <c r="A189" s="116"/>
      <c r="B189" s="116"/>
      <c r="C189" s="116"/>
      <c r="D189" s="94"/>
      <c r="E189" s="94"/>
      <c r="F189" s="94"/>
      <c r="G189" s="94"/>
      <c r="H189" s="94"/>
      <c r="I189" s="94"/>
      <c r="J189" s="94"/>
    </row>
    <row r="190" spans="1:10">
      <c r="A190" s="94"/>
      <c r="B190" s="94"/>
      <c r="C190" s="94"/>
      <c r="D190" s="94"/>
      <c r="E190" s="94"/>
      <c r="F190" s="94"/>
      <c r="G190" s="94"/>
      <c r="H190" s="94"/>
      <c r="I190" s="94"/>
      <c r="J190" s="94"/>
    </row>
    <row r="191" spans="1:10">
      <c r="A191" s="94"/>
      <c r="B191" s="94"/>
      <c r="C191" s="94"/>
      <c r="D191" s="94"/>
      <c r="E191" s="94"/>
      <c r="F191" s="94"/>
      <c r="G191" s="94"/>
      <c r="H191" s="94"/>
      <c r="I191" s="94"/>
      <c r="J191" s="94"/>
    </row>
    <row r="192" spans="1:10">
      <c r="A192" s="418" t="s">
        <v>432</v>
      </c>
      <c r="B192" s="418"/>
      <c r="C192" s="418"/>
      <c r="D192" s="418"/>
      <c r="E192" s="418"/>
      <c r="F192" s="418"/>
      <c r="G192" s="418"/>
      <c r="H192" s="418"/>
      <c r="I192" s="418"/>
      <c r="J192" s="418"/>
    </row>
    <row r="194" spans="1:5">
      <c r="A194" t="s">
        <v>546</v>
      </c>
    </row>
    <row r="195" spans="1:5">
      <c r="A195">
        <v>1</v>
      </c>
      <c r="B195" t="s">
        <v>559</v>
      </c>
    </row>
    <row r="196" spans="1:5">
      <c r="A196">
        <v>2</v>
      </c>
      <c r="B196" t="s">
        <v>560</v>
      </c>
      <c r="C196" s="67"/>
      <c r="D196" s="67"/>
      <c r="E196" s="67"/>
    </row>
    <row r="197" spans="1:5">
      <c r="A197">
        <v>3</v>
      </c>
      <c r="B197" s="94" t="s">
        <v>610</v>
      </c>
    </row>
  </sheetData>
  <mergeCells count="4">
    <mergeCell ref="A3:H3"/>
    <mergeCell ref="A147:J147"/>
    <mergeCell ref="A192:J192"/>
    <mergeCell ref="A4:H4"/>
  </mergeCells>
  <pageMargins left="0.7" right="0.7" top="0.75" bottom="0.75" header="0.3" footer="0.3"/>
  <pageSetup paperSize="9" scale="65" orientation="landscape" r:id="rId1"/>
  <rowBreaks count="1" manualBreakCount="1">
    <brk id="141" max="9" man="1"/>
  </rowBreaks>
  <colBreaks count="1" manualBreakCount="1">
    <brk id="10" min="2" max="5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17</vt:i4>
      </vt:variant>
    </vt:vector>
  </HeadingPairs>
  <TitlesOfParts>
    <vt:vector size="35" baseType="lpstr">
      <vt:lpstr>Note for users</vt:lpstr>
      <vt:lpstr>1.Project Cost and MOF</vt:lpstr>
      <vt:lpstr>2.Capex Details</vt:lpstr>
      <vt:lpstr>3.Other Exp &amp; Taxes</vt:lpstr>
      <vt:lpstr>4.TL repayment sch</vt:lpstr>
      <vt:lpstr>5.Closing Stock &amp; W Capital</vt:lpstr>
      <vt:lpstr>6.Cons Profit &amp; Loss</vt:lpstr>
      <vt:lpstr>7.Balance Sheet</vt:lpstr>
      <vt:lpstr>8.Cash Flow </vt:lpstr>
      <vt:lpstr>9. Financial indiacators</vt:lpstr>
      <vt:lpstr>10.Grain Production details</vt:lpstr>
      <vt:lpstr>11.F&amp;V Crop Production details</vt:lpstr>
      <vt:lpstr>12.Facility 1 - Trading</vt:lpstr>
      <vt:lpstr>13.Facility 2 Grain Processing</vt:lpstr>
      <vt:lpstr>14. Facility 3 Warehouse</vt:lpstr>
      <vt:lpstr>15. Facility 4 Custom Hiring</vt:lpstr>
      <vt:lpstr>16.Facility 5 Agri Input</vt:lpstr>
      <vt:lpstr>17.Facility 6 Horti Processing </vt:lpstr>
      <vt:lpstr>'1.Project Cost and MOF'!Print_Area</vt:lpstr>
      <vt:lpstr>'10.Grain Production details'!Print_Area</vt:lpstr>
      <vt:lpstr>'11.F&amp;V Crop Production details'!Print_Area</vt:lpstr>
      <vt:lpstr>'12.Facility 1 - Trading'!Print_Area</vt:lpstr>
      <vt:lpstr>'13.Facility 2 Grain Processing'!Print_Area</vt:lpstr>
      <vt:lpstr>'14. Facility 3 Warehouse'!Print_Area</vt:lpstr>
      <vt:lpstr>'15. Facility 4 Custom Hiring'!Print_Area</vt:lpstr>
      <vt:lpstr>'16.Facility 5 Agri Input'!Print_Area</vt:lpstr>
      <vt:lpstr>'17.Facility 6 Horti Processing '!Print_Area</vt:lpstr>
      <vt:lpstr>'2.Capex Details'!Print_Area</vt:lpstr>
      <vt:lpstr>'3.Other Exp &amp; Taxes'!Print_Area</vt:lpstr>
      <vt:lpstr>'4.TL repayment sch'!Print_Area</vt:lpstr>
      <vt:lpstr>'5.Closing Stock &amp; W Capital'!Print_Area</vt:lpstr>
      <vt:lpstr>'6.Cons Profit &amp; Loss'!Print_Area</vt:lpstr>
      <vt:lpstr>'7.Balance Sheet'!Print_Area</vt:lpstr>
      <vt:lpstr>'8.Cash Flow '!Print_Area</vt:lpstr>
      <vt:lpstr>'9. Financial indiacators'!Print_Area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2023-01-26T04:52:01Z</dcterms:modified>
</cp:coreProperties>
</file>