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defaultThemeVersion="124226"/>
  <xr:revisionPtr revIDLastSave="0" documentId="13_ncr:1_{C0F88B00-99E6-4EA1-A594-B646F8C5C367}" xr6:coauthVersionLast="47" xr6:coauthVersionMax="47" xr10:uidLastSave="{00000000-0000-0000-0000-000000000000}"/>
  <bookViews>
    <workbookView xWindow="-110" yWindow="-110" windowWidth="19420" windowHeight="10420" tabRatio="601" firstSheet="16" activeTab="18" xr2:uid="{00000000-000D-0000-FFFF-FFFF00000000}"/>
  </bookViews>
  <sheets>
    <sheet name="Note for users" sheetId="82" r:id="rId1"/>
    <sheet name="1.Project Cost and MOF" sheetId="62" r:id="rId2"/>
    <sheet name="2.Capex Details" sheetId="57" r:id="rId3"/>
    <sheet name="3.Other Exp &amp; Taxes" sheetId="22" r:id="rId4"/>
    <sheet name="Sheet1" sheetId="86" state="hidden" r:id="rId5"/>
    <sheet name="4.TL repayment sch" sheetId="23" r:id="rId6"/>
    <sheet name="5.Closing Stock &amp; W Capital" sheetId="61" r:id="rId7"/>
    <sheet name="6.Cons Profit &amp; Loss" sheetId="21" r:id="rId8"/>
    <sheet name="7.Balance Sheet" sheetId="69" r:id="rId9"/>
    <sheet name="8.Cash Flow " sheetId="68" r:id="rId10"/>
    <sheet name="9.1 Financial indiacators" sheetId="29" r:id="rId11"/>
    <sheet name="10.Grain Production details" sheetId="81" r:id="rId12"/>
    <sheet name="11.F&amp;V Crop Production details" sheetId="83" r:id="rId13"/>
    <sheet name="12.Facility 1 - Trading" sheetId="55" r:id="rId14"/>
    <sheet name="13.Facility 2 Grain Processing" sheetId="72" r:id="rId15"/>
    <sheet name="14. Facility 3 Warehouse" sheetId="42" r:id="rId16"/>
    <sheet name="15. Facility 4 Custom Hiring" sheetId="48" r:id="rId17"/>
    <sheet name="16.Facility 5 Agri Input" sheetId="53" r:id="rId18"/>
    <sheet name="17.Facility 6 Horti Processing " sheetId="84" r:id="rId19"/>
    <sheet name="VGF" sheetId="85" state="hidden" r:id="rId20"/>
    <sheet name="Output" sheetId="87" state="hidden" r:id="rId21"/>
    <sheet name="Sheet2" sheetId="88" state="hidden" r:id="rId22"/>
    <sheet name="Sheet3" sheetId="90" state="hidden" r:id="rId23"/>
  </sheets>
  <externalReferences>
    <externalReference r:id="rId24"/>
    <externalReference r:id="rId25"/>
    <externalReference r:id="rId26"/>
    <externalReference r:id="rId27"/>
    <externalReference r:id="rId28"/>
  </externalReferences>
  <definedNames>
    <definedName name="_Fill" hidden="1">#REF!</definedName>
    <definedName name="_IRR2">'[1]Balance Sheet'!$G$35:$G$35</definedName>
    <definedName name="A">#REF!</definedName>
    <definedName name="Admin">'[2]Balance Sheet'!#REF!</definedName>
    <definedName name="ANNEXA">#REF!</definedName>
    <definedName name="ANNEXB">#REF!</definedName>
    <definedName name="ANNEXC">#REF!</definedName>
    <definedName name="ANNEXD">#REF!</definedName>
    <definedName name="ANNEXE">#REF!</definedName>
    <definedName name="ANNEXF">#REF!</definedName>
    <definedName name="ANNEXG">#REF!</definedName>
    <definedName name="ANNEXH">#REF!</definedName>
    <definedName name="ANNEXI">#REF!</definedName>
    <definedName name="ANNEXJ">#REF!</definedName>
    <definedName name="b">'[3]Balance Sheet'!#REF!</definedName>
    <definedName name="bb">'[4]Balance Sheet'!$B$35:$B$35</definedName>
    <definedName name="FORM1">#REF!</definedName>
    <definedName name="FORM2A">#REF!</definedName>
    <definedName name="FORM2B">#REF!</definedName>
    <definedName name="FORM3A">#REF!</definedName>
    <definedName name="FORM3B">#REF!</definedName>
    <definedName name="FORM3C">#REF!</definedName>
    <definedName name="FORM3D">#REF!</definedName>
    <definedName name="FORM4A">#REF!</definedName>
    <definedName name="FORM4B">#REF!</definedName>
    <definedName name="FORM5">#REF!</definedName>
    <definedName name="FORM6A">#REF!</definedName>
    <definedName name="FORM6B">#REF!</definedName>
    <definedName name="interest">#REF!</definedName>
    <definedName name="_xlnm.Print_Area" localSheetId="1">'1.Project Cost and MOF'!$A$1:$F$35</definedName>
    <definedName name="_xlnm.Print_Area" localSheetId="11">'10.Grain Production details'!$A$1:$H$114</definedName>
    <definedName name="_xlnm.Print_Area" localSheetId="12">'11.F&amp;V Crop Production details'!$A$1:$H$127</definedName>
    <definedName name="_xlnm.Print_Area" localSheetId="13">'12.Facility 1 - Trading'!$A$1:$J$216</definedName>
    <definedName name="_xlnm.Print_Area" localSheetId="14">'13.Facility 2 Grain Processing'!$A$3:$J$181</definedName>
    <definedName name="_xlnm.Print_Area" localSheetId="15">'14. Facility 3 Warehouse'!$A$1:$K$50</definedName>
    <definedName name="_xlnm.Print_Area" localSheetId="16">'15. Facility 4 Custom Hiring'!$A$1:$U$58</definedName>
    <definedName name="_xlnm.Print_Area" localSheetId="17">'16.Facility 5 Agri Input'!$A$1:$J$281</definedName>
    <definedName name="_xlnm.Print_Area" localSheetId="18">'17.Facility 6 Horti Processing '!$A$1:$J$192</definedName>
    <definedName name="_xlnm.Print_Area" localSheetId="2">'2.Capex Details'!$A$1:$H$149</definedName>
    <definedName name="_xlnm.Print_Area" localSheetId="3">'3.Other Exp &amp; Taxes'!$A$1:$R$105</definedName>
    <definedName name="_xlnm.Print_Area" localSheetId="5">'4.TL repayment sch'!$A$1:$H$95</definedName>
    <definedName name="_xlnm.Print_Area" localSheetId="6">'5.Closing Stock &amp; W Capital'!$A$1:$L$60</definedName>
    <definedName name="_xlnm.Print_Area" localSheetId="7">'6.Cons Profit &amp; Loss'!$A$1:$I$56</definedName>
    <definedName name="_xlnm.Print_Area" localSheetId="8">'7.Balance Sheet'!$A$1:$I$50</definedName>
    <definedName name="_xlnm.Print_Area" localSheetId="9">'8.Cash Flow '!$A$1:$J$38</definedName>
    <definedName name="_xlnm.Print_Area" localSheetId="10">'9.1 Financial indiacators'!$B$1:$J$183</definedName>
    <definedName name="Q">#REF!</definedName>
    <definedName name="rate1">#REF!</definedName>
    <definedName name="rate2">#REF!</definedName>
    <definedName name="rate3">#REF!</definedName>
    <definedName name="rate4">#REF!</definedName>
    <definedName name="X">#REF!</definedName>
    <definedName name="Z">#REF!</definedName>
  </definedName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33" i="55" l="1"/>
  <c r="B65" i="55"/>
  <c r="D183" i="55"/>
  <c r="D185" i="55"/>
  <c r="E37" i="61"/>
  <c r="E42" i="61"/>
  <c r="B10" i="55"/>
  <c r="D193" i="55"/>
  <c r="D194" i="55"/>
  <c r="B70" i="55"/>
  <c r="B122" i="55"/>
  <c r="B71" i="55"/>
  <c r="B123" i="55"/>
  <c r="B72" i="55"/>
  <c r="B124" i="55"/>
  <c r="B73" i="55"/>
  <c r="B125" i="55"/>
  <c r="B74" i="55"/>
  <c r="B126" i="55"/>
  <c r="B75" i="55"/>
  <c r="B127" i="55"/>
  <c r="B76" i="55"/>
  <c r="B128" i="55"/>
  <c r="D196" i="55"/>
  <c r="D197" i="55"/>
  <c r="E16" i="61"/>
  <c r="E21" i="61"/>
  <c r="E43" i="61"/>
  <c r="E45" i="61"/>
  <c r="E50" i="61"/>
  <c r="E55" i="61"/>
  <c r="E56" i="61"/>
  <c r="E57" i="61"/>
  <c r="D11" i="62"/>
  <c r="E21" i="62"/>
  <c r="D12" i="62"/>
  <c r="E20" i="62"/>
  <c r="D4" i="23"/>
  <c r="C10" i="23"/>
  <c r="D10" i="23"/>
  <c r="F10" i="23"/>
  <c r="E10" i="23"/>
  <c r="G10" i="23"/>
  <c r="C11" i="23"/>
  <c r="D11" i="23"/>
  <c r="F11" i="23"/>
  <c r="E11" i="23"/>
  <c r="G11" i="23"/>
  <c r="C12" i="23"/>
  <c r="D12" i="23"/>
  <c r="F12" i="23"/>
  <c r="E12" i="23"/>
  <c r="G12" i="23"/>
  <c r="C13" i="23"/>
  <c r="D13" i="23"/>
  <c r="F13" i="23"/>
  <c r="E13" i="23"/>
  <c r="G13" i="23"/>
  <c r="C14" i="23"/>
  <c r="D14" i="23"/>
  <c r="F14" i="23"/>
  <c r="E14" i="23"/>
  <c r="G14" i="23"/>
  <c r="C15" i="23"/>
  <c r="D15" i="23"/>
  <c r="F15" i="23"/>
  <c r="E15" i="23"/>
  <c r="D8" i="23"/>
  <c r="F16" i="23"/>
  <c r="G15" i="23"/>
  <c r="C16" i="23"/>
  <c r="D16" i="23"/>
  <c r="E16" i="23"/>
  <c r="F17" i="23"/>
  <c r="G16" i="23"/>
  <c r="C17" i="23"/>
  <c r="D17" i="23"/>
  <c r="E17" i="23"/>
  <c r="F18" i="23"/>
  <c r="G17" i="23"/>
  <c r="C18" i="23"/>
  <c r="D18" i="23"/>
  <c r="E18" i="23"/>
  <c r="F19" i="23"/>
  <c r="G18" i="23"/>
  <c r="C19" i="23"/>
  <c r="D19" i="23"/>
  <c r="E19" i="23"/>
  <c r="F20" i="23"/>
  <c r="G19" i="23"/>
  <c r="C20" i="23"/>
  <c r="D20" i="23"/>
  <c r="E20" i="23"/>
  <c r="F21" i="23"/>
  <c r="G20" i="23"/>
  <c r="C21" i="23"/>
  <c r="D21" i="23"/>
  <c r="E21" i="23"/>
  <c r="C26" i="68"/>
  <c r="F22" i="23"/>
  <c r="G21" i="23"/>
  <c r="C22" i="23"/>
  <c r="D22" i="23"/>
  <c r="E22" i="23"/>
  <c r="F23" i="23"/>
  <c r="G22" i="23"/>
  <c r="C23" i="23"/>
  <c r="D23" i="23"/>
  <c r="E23" i="23"/>
  <c r="F24" i="23"/>
  <c r="G23" i="23"/>
  <c r="C24" i="23"/>
  <c r="D24" i="23"/>
  <c r="E24" i="23"/>
  <c r="F25" i="23"/>
  <c r="G24" i="23"/>
  <c r="C25" i="23"/>
  <c r="D25" i="23"/>
  <c r="E25" i="23"/>
  <c r="F26" i="23"/>
  <c r="G25" i="23"/>
  <c r="C26" i="23"/>
  <c r="D26" i="23"/>
  <c r="E26" i="23"/>
  <c r="F27" i="23"/>
  <c r="G26" i="23"/>
  <c r="C27" i="23"/>
  <c r="D27" i="23"/>
  <c r="E27" i="23"/>
  <c r="F28" i="23"/>
  <c r="G27" i="23"/>
  <c r="C28" i="23"/>
  <c r="D28" i="23"/>
  <c r="E28" i="23"/>
  <c r="F29" i="23"/>
  <c r="G28" i="23"/>
  <c r="C29" i="23"/>
  <c r="D29" i="23"/>
  <c r="E29" i="23"/>
  <c r="F30" i="23"/>
  <c r="G29" i="23"/>
  <c r="C30" i="23"/>
  <c r="D30" i="23"/>
  <c r="E30" i="23"/>
  <c r="F31" i="23"/>
  <c r="G30" i="23"/>
  <c r="C31" i="23"/>
  <c r="D31" i="23"/>
  <c r="E31" i="23"/>
  <c r="F32" i="23"/>
  <c r="G31" i="23"/>
  <c r="C32" i="23"/>
  <c r="D32" i="23"/>
  <c r="E32" i="23"/>
  <c r="F33" i="23"/>
  <c r="G32" i="23"/>
  <c r="C33" i="23"/>
  <c r="D33" i="23"/>
  <c r="E33" i="23"/>
  <c r="D26" i="68"/>
  <c r="F34" i="23"/>
  <c r="G33" i="23"/>
  <c r="C34" i="23"/>
  <c r="D34" i="23"/>
  <c r="E34" i="23"/>
  <c r="F35" i="23"/>
  <c r="G34" i="23"/>
  <c r="C35" i="23"/>
  <c r="D35" i="23"/>
  <c r="E35" i="23"/>
  <c r="F36" i="23"/>
  <c r="G35" i="23"/>
  <c r="C36" i="23"/>
  <c r="D36" i="23"/>
  <c r="E36" i="23"/>
  <c r="F37" i="23"/>
  <c r="G36" i="23"/>
  <c r="C37" i="23"/>
  <c r="D37" i="23"/>
  <c r="E37" i="23"/>
  <c r="F38" i="23"/>
  <c r="G37" i="23"/>
  <c r="C38" i="23"/>
  <c r="D38" i="23"/>
  <c r="E38" i="23"/>
  <c r="F39" i="23"/>
  <c r="G38" i="23"/>
  <c r="C39" i="23"/>
  <c r="D39" i="23"/>
  <c r="E39" i="23"/>
  <c r="F40" i="23"/>
  <c r="G39" i="23"/>
  <c r="C40" i="23"/>
  <c r="D40" i="23"/>
  <c r="E40" i="23"/>
  <c r="F41" i="23"/>
  <c r="G40" i="23"/>
  <c r="C41" i="23"/>
  <c r="D41" i="23"/>
  <c r="E41" i="23"/>
  <c r="F42" i="23"/>
  <c r="G41" i="23"/>
  <c r="C42" i="23"/>
  <c r="D42" i="23"/>
  <c r="E42" i="23"/>
  <c r="F43" i="23"/>
  <c r="G42" i="23"/>
  <c r="C43" i="23"/>
  <c r="D43" i="23"/>
  <c r="E43" i="23"/>
  <c r="F44" i="23"/>
  <c r="G43" i="23"/>
  <c r="C44" i="23"/>
  <c r="D44" i="23"/>
  <c r="E44" i="23"/>
  <c r="F45" i="23"/>
  <c r="G44" i="23"/>
  <c r="C45" i="23"/>
  <c r="D45" i="23"/>
  <c r="E45" i="23"/>
  <c r="E26" i="68"/>
  <c r="F46" i="23"/>
  <c r="G45" i="23"/>
  <c r="C46" i="23"/>
  <c r="D46" i="23"/>
  <c r="E46" i="23"/>
  <c r="F47" i="23"/>
  <c r="G46" i="23"/>
  <c r="C47" i="23"/>
  <c r="D47" i="23"/>
  <c r="E47" i="23"/>
  <c r="F48" i="23"/>
  <c r="G47" i="23"/>
  <c r="C48" i="23"/>
  <c r="D48" i="23"/>
  <c r="E48" i="23"/>
  <c r="F49" i="23"/>
  <c r="G48" i="23"/>
  <c r="C49" i="23"/>
  <c r="D49" i="23"/>
  <c r="E49" i="23"/>
  <c r="F50" i="23"/>
  <c r="G49" i="23"/>
  <c r="C50" i="23"/>
  <c r="D50" i="23"/>
  <c r="E50" i="23"/>
  <c r="F51" i="23"/>
  <c r="G50" i="23"/>
  <c r="C51" i="23"/>
  <c r="D51" i="23"/>
  <c r="E51" i="23"/>
  <c r="F52" i="23"/>
  <c r="G51" i="23"/>
  <c r="C52" i="23"/>
  <c r="D52" i="23"/>
  <c r="E52" i="23"/>
  <c r="F53" i="23"/>
  <c r="G52" i="23"/>
  <c r="C53" i="23"/>
  <c r="D53" i="23"/>
  <c r="E53" i="23"/>
  <c r="F54" i="23"/>
  <c r="G53" i="23"/>
  <c r="C54" i="23"/>
  <c r="D54" i="23"/>
  <c r="E54" i="23"/>
  <c r="F55" i="23"/>
  <c r="G54" i="23"/>
  <c r="C55" i="23"/>
  <c r="D55" i="23"/>
  <c r="E55" i="23"/>
  <c r="F56" i="23"/>
  <c r="G55" i="23"/>
  <c r="C56" i="23"/>
  <c r="D56" i="23"/>
  <c r="E56" i="23"/>
  <c r="F57" i="23"/>
  <c r="G56" i="23"/>
  <c r="C57" i="23"/>
  <c r="D57" i="23"/>
  <c r="E57" i="23"/>
  <c r="F26" i="68"/>
  <c r="F58" i="23"/>
  <c r="G57" i="23"/>
  <c r="C58" i="23"/>
  <c r="D58" i="23"/>
  <c r="E58" i="23"/>
  <c r="F59" i="23"/>
  <c r="G58" i="23"/>
  <c r="C59" i="23"/>
  <c r="D59" i="23"/>
  <c r="E59" i="23"/>
  <c r="F60" i="23"/>
  <c r="G59" i="23"/>
  <c r="C60" i="23"/>
  <c r="D60" i="23"/>
  <c r="E60" i="23"/>
  <c r="F61" i="23"/>
  <c r="G60" i="23"/>
  <c r="C61" i="23"/>
  <c r="D61" i="23"/>
  <c r="E61" i="23"/>
  <c r="F62" i="23"/>
  <c r="G61" i="23"/>
  <c r="C62" i="23"/>
  <c r="D62" i="23"/>
  <c r="E62" i="23"/>
  <c r="F63" i="23"/>
  <c r="G62" i="23"/>
  <c r="C63" i="23"/>
  <c r="D63" i="23"/>
  <c r="E63" i="23"/>
  <c r="F64" i="23"/>
  <c r="G63" i="23"/>
  <c r="C64" i="23"/>
  <c r="D64" i="23"/>
  <c r="E64" i="23"/>
  <c r="F65" i="23"/>
  <c r="G64" i="23"/>
  <c r="C65" i="23"/>
  <c r="D65" i="23"/>
  <c r="E65" i="23"/>
  <c r="F66" i="23"/>
  <c r="G65" i="23"/>
  <c r="C66" i="23"/>
  <c r="D66" i="23"/>
  <c r="E66" i="23"/>
  <c r="F67" i="23"/>
  <c r="G66" i="23"/>
  <c r="C67" i="23"/>
  <c r="D67" i="23"/>
  <c r="E67" i="23"/>
  <c r="F68" i="23"/>
  <c r="G67" i="23"/>
  <c r="C68" i="23"/>
  <c r="D68" i="23"/>
  <c r="E68" i="23"/>
  <c r="F69" i="23"/>
  <c r="G68" i="23"/>
  <c r="C69" i="23"/>
  <c r="D69" i="23"/>
  <c r="E69" i="23"/>
  <c r="G26" i="68"/>
  <c r="B28" i="69"/>
  <c r="C28" i="69"/>
  <c r="D28" i="69"/>
  <c r="E28" i="69"/>
  <c r="G69" i="23"/>
  <c r="F28" i="69"/>
  <c r="G28" i="69"/>
  <c r="H28" i="69"/>
  <c r="E22" i="62"/>
  <c r="D5" i="62"/>
  <c r="D6" i="62"/>
  <c r="D7" i="62"/>
  <c r="D8" i="62"/>
  <c r="D9" i="62"/>
  <c r="D10" i="62"/>
  <c r="F7" i="57"/>
  <c r="E7" i="57"/>
  <c r="E6" i="57"/>
  <c r="K38" i="81"/>
  <c r="B102" i="81"/>
  <c r="B101" i="81"/>
  <c r="B76" i="81"/>
  <c r="K8" i="22"/>
  <c r="K9" i="22"/>
  <c r="K10" i="22"/>
  <c r="K12" i="22"/>
  <c r="K13" i="22"/>
  <c r="K15" i="22"/>
  <c r="K14" i="22"/>
  <c r="K23" i="22"/>
  <c r="H35" i="21"/>
  <c r="J37" i="42"/>
  <c r="J42" i="42"/>
  <c r="H30" i="21"/>
  <c r="H36" i="21"/>
  <c r="C49" i="22"/>
  <c r="K49" i="22"/>
  <c r="K50" i="22"/>
  <c r="K52" i="22"/>
  <c r="L49" i="22"/>
  <c r="L50" i="22"/>
  <c r="L52" i="22"/>
  <c r="M49" i="22"/>
  <c r="M50" i="22"/>
  <c r="M52" i="22"/>
  <c r="N49" i="22"/>
  <c r="N50" i="22"/>
  <c r="N52" i="22"/>
  <c r="O49" i="22"/>
  <c r="O50" i="22"/>
  <c r="O52" i="22"/>
  <c r="P49" i="22"/>
  <c r="P50" i="22"/>
  <c r="P52" i="22"/>
  <c r="Q49" i="22"/>
  <c r="Q50" i="22"/>
  <c r="C43" i="22"/>
  <c r="K43" i="22"/>
  <c r="K44" i="22"/>
  <c r="K46" i="22"/>
  <c r="L43" i="22"/>
  <c r="L44" i="22"/>
  <c r="L46" i="22"/>
  <c r="M43" i="22"/>
  <c r="M44" i="22"/>
  <c r="M46" i="22"/>
  <c r="N43" i="22"/>
  <c r="N44" i="22"/>
  <c r="N46" i="22"/>
  <c r="O43" i="22"/>
  <c r="O44" i="22"/>
  <c r="O46" i="22"/>
  <c r="P43" i="22"/>
  <c r="P44" i="22"/>
  <c r="P46" i="22"/>
  <c r="Q43" i="22"/>
  <c r="Q44" i="22"/>
  <c r="C37" i="22"/>
  <c r="K37" i="22"/>
  <c r="K38" i="22"/>
  <c r="K40" i="22"/>
  <c r="L37" i="22"/>
  <c r="L38" i="22"/>
  <c r="L40" i="22"/>
  <c r="M37" i="22"/>
  <c r="M38" i="22"/>
  <c r="M40" i="22"/>
  <c r="N37" i="22"/>
  <c r="N38" i="22"/>
  <c r="N40" i="22"/>
  <c r="O37" i="22"/>
  <c r="O38" i="22"/>
  <c r="O40" i="22"/>
  <c r="P37" i="22"/>
  <c r="P38" i="22"/>
  <c r="P40" i="22"/>
  <c r="Q37" i="22"/>
  <c r="Q38" i="22"/>
  <c r="C55" i="22"/>
  <c r="K55" i="22"/>
  <c r="K56" i="22"/>
  <c r="K58" i="22"/>
  <c r="L55" i="22"/>
  <c r="L56" i="22"/>
  <c r="L58" i="22"/>
  <c r="M55" i="22"/>
  <c r="M56" i="22"/>
  <c r="M58" i="22"/>
  <c r="N55" i="22"/>
  <c r="N56" i="22"/>
  <c r="N58" i="22"/>
  <c r="O55" i="22"/>
  <c r="O56" i="22"/>
  <c r="O58" i="22"/>
  <c r="P55" i="22"/>
  <c r="P56" i="22"/>
  <c r="P58" i="22"/>
  <c r="Q55" i="22"/>
  <c r="Q56" i="22"/>
  <c r="C61" i="22"/>
  <c r="K61" i="22"/>
  <c r="K62" i="22"/>
  <c r="K64" i="22"/>
  <c r="L61" i="22"/>
  <c r="L62" i="22"/>
  <c r="L64" i="22"/>
  <c r="M61" i="22"/>
  <c r="M62" i="22"/>
  <c r="M64" i="22"/>
  <c r="N61" i="22"/>
  <c r="N62" i="22"/>
  <c r="N64" i="22"/>
  <c r="O61" i="22"/>
  <c r="O62" i="22"/>
  <c r="O64" i="22"/>
  <c r="P61" i="22"/>
  <c r="P62" i="22"/>
  <c r="P64" i="22"/>
  <c r="Q61" i="22"/>
  <c r="Q62" i="22"/>
  <c r="Q66" i="22"/>
  <c r="I45" i="29"/>
  <c r="J8" i="22"/>
  <c r="J9" i="22"/>
  <c r="J10" i="22"/>
  <c r="J12" i="22"/>
  <c r="J13" i="22"/>
  <c r="J15" i="22"/>
  <c r="J14" i="22"/>
  <c r="J23" i="22"/>
  <c r="G35" i="21"/>
  <c r="I37" i="42"/>
  <c r="I42" i="42"/>
  <c r="G30" i="21"/>
  <c r="G36" i="21"/>
  <c r="P66" i="22"/>
  <c r="H45" i="29"/>
  <c r="I8" i="22"/>
  <c r="I9" i="22"/>
  <c r="I10" i="22"/>
  <c r="I12" i="22"/>
  <c r="I13" i="22"/>
  <c r="I15" i="22"/>
  <c r="I14" i="22"/>
  <c r="I23" i="22"/>
  <c r="F35" i="21"/>
  <c r="H37" i="42"/>
  <c r="H42" i="42"/>
  <c r="F30" i="21"/>
  <c r="F36" i="21"/>
  <c r="O66" i="22"/>
  <c r="G86" i="22"/>
  <c r="G87" i="22"/>
  <c r="G45" i="29"/>
  <c r="H8" i="22"/>
  <c r="H9" i="22"/>
  <c r="H10" i="22"/>
  <c r="H12" i="22"/>
  <c r="H13" i="22"/>
  <c r="H15" i="22"/>
  <c r="H14" i="22"/>
  <c r="H23" i="22"/>
  <c r="E35" i="21"/>
  <c r="G37" i="42"/>
  <c r="G42" i="42"/>
  <c r="E30" i="21"/>
  <c r="E36" i="21"/>
  <c r="N66" i="22"/>
  <c r="F86" i="22"/>
  <c r="F87" i="22"/>
  <c r="F45" i="29"/>
  <c r="G8" i="22"/>
  <c r="G9" i="22"/>
  <c r="G10" i="22"/>
  <c r="G12" i="22"/>
  <c r="G13" i="22"/>
  <c r="G15" i="22"/>
  <c r="G14" i="22"/>
  <c r="G23" i="22"/>
  <c r="D35" i="21"/>
  <c r="F37" i="42"/>
  <c r="F42" i="42"/>
  <c r="D30" i="21"/>
  <c r="D36" i="21"/>
  <c r="M66" i="22"/>
  <c r="E86" i="22"/>
  <c r="E87" i="22"/>
  <c r="E45" i="29"/>
  <c r="F8" i="22"/>
  <c r="F9" i="22"/>
  <c r="F10" i="22"/>
  <c r="F12" i="22"/>
  <c r="F13" i="22"/>
  <c r="F15" i="22"/>
  <c r="F14" i="22"/>
  <c r="F23" i="22"/>
  <c r="C35" i="21"/>
  <c r="E37" i="42"/>
  <c r="E42" i="42"/>
  <c r="C30" i="21"/>
  <c r="C36" i="21"/>
  <c r="L66" i="22"/>
  <c r="D86" i="22"/>
  <c r="D87" i="22"/>
  <c r="D45" i="29"/>
  <c r="E8" i="22"/>
  <c r="E9" i="22"/>
  <c r="E10" i="22"/>
  <c r="E12" i="22"/>
  <c r="E13" i="22"/>
  <c r="E15" i="22"/>
  <c r="E14" i="22"/>
  <c r="E23" i="22"/>
  <c r="B35" i="21"/>
  <c r="D37" i="42"/>
  <c r="D42" i="42"/>
  <c r="B30" i="21"/>
  <c r="B36" i="21"/>
  <c r="K66" i="22"/>
  <c r="C86" i="22"/>
  <c r="C87" i="22"/>
  <c r="C45" i="29"/>
  <c r="C62" i="55"/>
  <c r="D62" i="55"/>
  <c r="E62" i="55"/>
  <c r="F62" i="55"/>
  <c r="G62" i="55"/>
  <c r="H62" i="55"/>
  <c r="H63" i="55"/>
  <c r="B7" i="81"/>
  <c r="B9" i="81"/>
  <c r="D14" i="81"/>
  <c r="F14" i="81"/>
  <c r="H14" i="81"/>
  <c r="B42" i="81"/>
  <c r="C42" i="81"/>
  <c r="D42" i="81"/>
  <c r="E42" i="81"/>
  <c r="F42" i="81"/>
  <c r="G42" i="81"/>
  <c r="H42" i="81"/>
  <c r="H11" i="55"/>
  <c r="H68" i="55"/>
  <c r="H120" i="55"/>
  <c r="D15" i="81"/>
  <c r="F15" i="81"/>
  <c r="H15" i="81"/>
  <c r="B43" i="81"/>
  <c r="C43" i="81"/>
  <c r="D43" i="81"/>
  <c r="E43" i="81"/>
  <c r="F43" i="81"/>
  <c r="G43" i="81"/>
  <c r="H43" i="81"/>
  <c r="H12" i="55"/>
  <c r="H69" i="55"/>
  <c r="H121" i="55"/>
  <c r="D16" i="81"/>
  <c r="F16" i="81"/>
  <c r="H16" i="81"/>
  <c r="B44" i="81"/>
  <c r="C44" i="81"/>
  <c r="D44" i="81"/>
  <c r="E44" i="81"/>
  <c r="F44" i="81"/>
  <c r="G44" i="81"/>
  <c r="H44" i="81"/>
  <c r="H13" i="55"/>
  <c r="H70" i="55"/>
  <c r="H122" i="55"/>
  <c r="D17" i="81"/>
  <c r="F17" i="81"/>
  <c r="H17" i="81"/>
  <c r="B45" i="81"/>
  <c r="C45" i="81"/>
  <c r="D45" i="81"/>
  <c r="E45" i="81"/>
  <c r="F45" i="81"/>
  <c r="G45" i="81"/>
  <c r="H45" i="81"/>
  <c r="H14" i="55"/>
  <c r="H71" i="55"/>
  <c r="H123" i="55"/>
  <c r="D18" i="81"/>
  <c r="F18" i="81"/>
  <c r="H18" i="81"/>
  <c r="B46" i="81"/>
  <c r="C46" i="81"/>
  <c r="D46" i="81"/>
  <c r="E46" i="81"/>
  <c r="F46" i="81"/>
  <c r="G46" i="81"/>
  <c r="H46" i="81"/>
  <c r="H15" i="55"/>
  <c r="H72" i="55"/>
  <c r="H124" i="55"/>
  <c r="D19" i="81"/>
  <c r="F19" i="81"/>
  <c r="H19" i="81"/>
  <c r="B47" i="81"/>
  <c r="C47" i="81"/>
  <c r="D47" i="81"/>
  <c r="E47" i="81"/>
  <c r="F47" i="81"/>
  <c r="G47" i="81"/>
  <c r="H47" i="81"/>
  <c r="H16" i="55"/>
  <c r="H73" i="55"/>
  <c r="H125" i="55"/>
  <c r="D20" i="81"/>
  <c r="F20" i="81"/>
  <c r="H20" i="81"/>
  <c r="B48" i="81"/>
  <c r="C48" i="81"/>
  <c r="D48" i="81"/>
  <c r="E48" i="81"/>
  <c r="F48" i="81"/>
  <c r="G48" i="81"/>
  <c r="H48" i="81"/>
  <c r="H17" i="55"/>
  <c r="H74" i="55"/>
  <c r="H126" i="55"/>
  <c r="D21" i="81"/>
  <c r="F21" i="81"/>
  <c r="H21" i="81"/>
  <c r="B49" i="81"/>
  <c r="C49" i="81"/>
  <c r="D49" i="81"/>
  <c r="E49" i="81"/>
  <c r="F49" i="81"/>
  <c r="G49" i="81"/>
  <c r="H49" i="81"/>
  <c r="H18" i="55"/>
  <c r="H75" i="55"/>
  <c r="H127" i="55"/>
  <c r="D22" i="81"/>
  <c r="F22" i="81"/>
  <c r="H22" i="81"/>
  <c r="B50" i="81"/>
  <c r="C50" i="81"/>
  <c r="D50" i="81"/>
  <c r="E50" i="81"/>
  <c r="F50" i="81"/>
  <c r="G50" i="81"/>
  <c r="H50" i="81"/>
  <c r="H19" i="55"/>
  <c r="H76" i="55"/>
  <c r="H128" i="55"/>
  <c r="C23" i="81"/>
  <c r="D24" i="81"/>
  <c r="F24" i="81"/>
  <c r="H24" i="81"/>
  <c r="B51" i="81"/>
  <c r="C51" i="81"/>
  <c r="D51" i="81"/>
  <c r="E51" i="81"/>
  <c r="F51" i="81"/>
  <c r="G51" i="81"/>
  <c r="H51" i="81"/>
  <c r="H20" i="55"/>
  <c r="H77" i="55"/>
  <c r="H129" i="55"/>
  <c r="D25" i="81"/>
  <c r="F25" i="81"/>
  <c r="H25" i="81"/>
  <c r="B52" i="81"/>
  <c r="C52" i="81"/>
  <c r="D52" i="81"/>
  <c r="E52" i="81"/>
  <c r="F52" i="81"/>
  <c r="G52" i="81"/>
  <c r="H52" i="81"/>
  <c r="H21" i="55"/>
  <c r="H78" i="55"/>
  <c r="H130" i="55"/>
  <c r="J197" i="55"/>
  <c r="G63" i="55"/>
  <c r="G11" i="55"/>
  <c r="G68" i="55"/>
  <c r="G120" i="55"/>
  <c r="G12" i="55"/>
  <c r="G69" i="55"/>
  <c r="G121" i="55"/>
  <c r="G13" i="55"/>
  <c r="G70" i="55"/>
  <c r="G122" i="55"/>
  <c r="G14" i="55"/>
  <c r="G71" i="55"/>
  <c r="G123" i="55"/>
  <c r="G15" i="55"/>
  <c r="G72" i="55"/>
  <c r="G124" i="55"/>
  <c r="G16" i="55"/>
  <c r="G73" i="55"/>
  <c r="G125" i="55"/>
  <c r="G17" i="55"/>
  <c r="G74" i="55"/>
  <c r="G126" i="55"/>
  <c r="G18" i="55"/>
  <c r="G75" i="55"/>
  <c r="G127" i="55"/>
  <c r="G19" i="55"/>
  <c r="G76" i="55"/>
  <c r="G128" i="55"/>
  <c r="G20" i="55"/>
  <c r="G77" i="55"/>
  <c r="G129" i="55"/>
  <c r="G21" i="55"/>
  <c r="G78" i="55"/>
  <c r="G130" i="55"/>
  <c r="I197" i="55"/>
  <c r="F63" i="55"/>
  <c r="F11" i="55"/>
  <c r="F68" i="55"/>
  <c r="F120" i="55"/>
  <c r="F12" i="55"/>
  <c r="F69" i="55"/>
  <c r="F121" i="55"/>
  <c r="F13" i="55"/>
  <c r="F70" i="55"/>
  <c r="F122" i="55"/>
  <c r="F14" i="55"/>
  <c r="F71" i="55"/>
  <c r="F123" i="55"/>
  <c r="F15" i="55"/>
  <c r="F72" i="55"/>
  <c r="F124" i="55"/>
  <c r="F16" i="55"/>
  <c r="F73" i="55"/>
  <c r="F125" i="55"/>
  <c r="F17" i="55"/>
  <c r="F74" i="55"/>
  <c r="F126" i="55"/>
  <c r="F18" i="55"/>
  <c r="F75" i="55"/>
  <c r="F127" i="55"/>
  <c r="F19" i="55"/>
  <c r="F76" i="55"/>
  <c r="F128" i="55"/>
  <c r="F20" i="55"/>
  <c r="F77" i="55"/>
  <c r="F129" i="55"/>
  <c r="F21" i="55"/>
  <c r="F78" i="55"/>
  <c r="F130" i="55"/>
  <c r="H197" i="55"/>
  <c r="E63" i="55"/>
  <c r="E11" i="55"/>
  <c r="E68" i="55"/>
  <c r="E120" i="55"/>
  <c r="E12" i="55"/>
  <c r="E69" i="55"/>
  <c r="E121" i="55"/>
  <c r="E13" i="55"/>
  <c r="E70" i="55"/>
  <c r="E122" i="55"/>
  <c r="E14" i="55"/>
  <c r="E71" i="55"/>
  <c r="E123" i="55"/>
  <c r="E15" i="55"/>
  <c r="E72" i="55"/>
  <c r="E124" i="55"/>
  <c r="E16" i="55"/>
  <c r="E73" i="55"/>
  <c r="E125" i="55"/>
  <c r="E17" i="55"/>
  <c r="E74" i="55"/>
  <c r="E126" i="55"/>
  <c r="E18" i="55"/>
  <c r="E75" i="55"/>
  <c r="E127" i="55"/>
  <c r="E19" i="55"/>
  <c r="E76" i="55"/>
  <c r="E128" i="55"/>
  <c r="E20" i="55"/>
  <c r="E77" i="55"/>
  <c r="E129" i="55"/>
  <c r="E21" i="55"/>
  <c r="E78" i="55"/>
  <c r="E130" i="55"/>
  <c r="G197" i="55"/>
  <c r="D63" i="55"/>
  <c r="D11" i="55"/>
  <c r="D68" i="55"/>
  <c r="D120" i="55"/>
  <c r="D12" i="55"/>
  <c r="D69" i="55"/>
  <c r="D121" i="55"/>
  <c r="D13" i="55"/>
  <c r="D70" i="55"/>
  <c r="D122" i="55"/>
  <c r="D14" i="55"/>
  <c r="D71" i="55"/>
  <c r="D123" i="55"/>
  <c r="D15" i="55"/>
  <c r="D72" i="55"/>
  <c r="D124" i="55"/>
  <c r="D16" i="55"/>
  <c r="D73" i="55"/>
  <c r="D125" i="55"/>
  <c r="D17" i="55"/>
  <c r="D74" i="55"/>
  <c r="D126" i="55"/>
  <c r="D18" i="55"/>
  <c r="D75" i="55"/>
  <c r="D127" i="55"/>
  <c r="D19" i="55"/>
  <c r="D76" i="55"/>
  <c r="D128" i="55"/>
  <c r="D20" i="55"/>
  <c r="D77" i="55"/>
  <c r="D129" i="55"/>
  <c r="D21" i="55"/>
  <c r="D78" i="55"/>
  <c r="D130" i="55"/>
  <c r="F197" i="55"/>
  <c r="C63" i="55"/>
  <c r="C11" i="55"/>
  <c r="C68" i="55"/>
  <c r="C120" i="55"/>
  <c r="C12" i="55"/>
  <c r="C69" i="55"/>
  <c r="C121" i="55"/>
  <c r="C13" i="55"/>
  <c r="C70" i="55"/>
  <c r="C122" i="55"/>
  <c r="C14" i="55"/>
  <c r="C71" i="55"/>
  <c r="C123" i="55"/>
  <c r="C15" i="55"/>
  <c r="C72" i="55"/>
  <c r="C124" i="55"/>
  <c r="C16" i="55"/>
  <c r="C73" i="55"/>
  <c r="C125" i="55"/>
  <c r="C17" i="55"/>
  <c r="C74" i="55"/>
  <c r="C126" i="55"/>
  <c r="C18" i="55"/>
  <c r="C75" i="55"/>
  <c r="C127" i="55"/>
  <c r="C19" i="55"/>
  <c r="C76" i="55"/>
  <c r="C128" i="55"/>
  <c r="C20" i="55"/>
  <c r="C77" i="55"/>
  <c r="C129" i="55"/>
  <c r="C21" i="55"/>
  <c r="C78" i="55"/>
  <c r="C130" i="55"/>
  <c r="E197" i="55"/>
  <c r="B63" i="55"/>
  <c r="B11" i="55"/>
  <c r="B68" i="55"/>
  <c r="B120" i="55"/>
  <c r="B12" i="55"/>
  <c r="B69" i="55"/>
  <c r="B121" i="55"/>
  <c r="B13" i="55"/>
  <c r="B14" i="55"/>
  <c r="B15" i="55"/>
  <c r="B16" i="55"/>
  <c r="B17" i="55"/>
  <c r="B18" i="55"/>
  <c r="B19" i="55"/>
  <c r="B20" i="55"/>
  <c r="B77" i="55"/>
  <c r="B129" i="55"/>
  <c r="B21" i="55"/>
  <c r="B78" i="55"/>
  <c r="B130" i="55"/>
  <c r="J196" i="55"/>
  <c r="I196" i="55"/>
  <c r="H196" i="55"/>
  <c r="G196" i="55"/>
  <c r="F196" i="55"/>
  <c r="E196" i="55"/>
  <c r="J191" i="55"/>
  <c r="I191" i="55"/>
  <c r="H191" i="55"/>
  <c r="G191" i="55"/>
  <c r="F191" i="55"/>
  <c r="E191" i="55"/>
  <c r="D191" i="55"/>
  <c r="A191" i="55"/>
  <c r="E172" i="55"/>
  <c r="F172" i="55"/>
  <c r="G172" i="55"/>
  <c r="H172" i="55"/>
  <c r="I172" i="55"/>
  <c r="J172" i="55"/>
  <c r="J180" i="55"/>
  <c r="I180" i="55"/>
  <c r="H180" i="55"/>
  <c r="G180" i="55"/>
  <c r="F180" i="55"/>
  <c r="E180" i="55"/>
  <c r="D180" i="55"/>
  <c r="H9" i="42"/>
  <c r="G9" i="42"/>
  <c r="G58" i="57"/>
  <c r="G56" i="57"/>
  <c r="G55" i="57"/>
  <c r="G54" i="57"/>
  <c r="G49" i="57"/>
  <c r="G50" i="57"/>
  <c r="G52" i="57"/>
  <c r="H47" i="57"/>
  <c r="H58" i="57"/>
  <c r="G37" i="57"/>
  <c r="G38" i="57"/>
  <c r="G39" i="57"/>
  <c r="G40" i="57"/>
  <c r="G41" i="57"/>
  <c r="G42" i="57"/>
  <c r="G43" i="57"/>
  <c r="G46" i="57"/>
  <c r="C40" i="81"/>
  <c r="D40" i="81"/>
  <c r="E40" i="81"/>
  <c r="F40" i="81"/>
  <c r="D26" i="81"/>
  <c r="F26" i="81"/>
  <c r="H26" i="81"/>
  <c r="B53" i="81"/>
  <c r="C53" i="81"/>
  <c r="D53" i="81"/>
  <c r="E53" i="81"/>
  <c r="F53" i="81"/>
  <c r="F22" i="55"/>
  <c r="D27" i="81"/>
  <c r="F27" i="81"/>
  <c r="H27" i="81"/>
  <c r="B54" i="81"/>
  <c r="C54" i="81"/>
  <c r="D54" i="81"/>
  <c r="E54" i="81"/>
  <c r="F54" i="81"/>
  <c r="F23" i="55"/>
  <c r="D28" i="81"/>
  <c r="F28" i="81"/>
  <c r="H28" i="81"/>
  <c r="B55" i="81"/>
  <c r="C55" i="81"/>
  <c r="D55" i="81"/>
  <c r="E55" i="81"/>
  <c r="F55" i="81"/>
  <c r="F24" i="55"/>
  <c r="D29" i="81"/>
  <c r="F29" i="81"/>
  <c r="H29" i="81"/>
  <c r="B56" i="81"/>
  <c r="C56" i="81"/>
  <c r="D56" i="81"/>
  <c r="E56" i="81"/>
  <c r="F56" i="81"/>
  <c r="F25" i="55"/>
  <c r="D30" i="81"/>
  <c r="F30" i="81"/>
  <c r="H30" i="81"/>
  <c r="B57" i="81"/>
  <c r="C57" i="81"/>
  <c r="D57" i="81"/>
  <c r="E57" i="81"/>
  <c r="F57" i="81"/>
  <c r="F26" i="55"/>
  <c r="D31" i="81"/>
  <c r="F31" i="81"/>
  <c r="H31" i="81"/>
  <c r="B58" i="81"/>
  <c r="C58" i="81"/>
  <c r="D58" i="81"/>
  <c r="E58" i="81"/>
  <c r="F58" i="81"/>
  <c r="F27" i="55"/>
  <c r="C32" i="81"/>
  <c r="D33" i="81"/>
  <c r="F33" i="81"/>
  <c r="H33" i="81"/>
  <c r="B59" i="81"/>
  <c r="C59" i="81"/>
  <c r="D59" i="81"/>
  <c r="E59" i="81"/>
  <c r="F59" i="81"/>
  <c r="F28" i="55"/>
  <c r="D34" i="81"/>
  <c r="F34" i="81"/>
  <c r="H34" i="81"/>
  <c r="B60" i="81"/>
  <c r="C60" i="81"/>
  <c r="D60" i="81"/>
  <c r="E60" i="81"/>
  <c r="F60" i="81"/>
  <c r="F29" i="55"/>
  <c r="D35" i="81"/>
  <c r="F35" i="81"/>
  <c r="H35" i="81"/>
  <c r="B61" i="81"/>
  <c r="C61" i="81"/>
  <c r="D61" i="81"/>
  <c r="E61" i="81"/>
  <c r="F61" i="81"/>
  <c r="F30" i="55"/>
  <c r="D36" i="81"/>
  <c r="F36" i="81"/>
  <c r="H36" i="81"/>
  <c r="B62" i="81"/>
  <c r="C62" i="81"/>
  <c r="D62" i="81"/>
  <c r="E62" i="81"/>
  <c r="F62" i="81"/>
  <c r="F31" i="55"/>
  <c r="F32" i="55"/>
  <c r="F33" i="55"/>
  <c r="F65" i="55"/>
  <c r="M65" i="55"/>
  <c r="G40" i="81"/>
  <c r="H40" i="81"/>
  <c r="G53" i="81"/>
  <c r="H53" i="81"/>
  <c r="H22" i="55"/>
  <c r="G54" i="81"/>
  <c r="H54" i="81"/>
  <c r="H23" i="55"/>
  <c r="G55" i="81"/>
  <c r="H55" i="81"/>
  <c r="H24" i="55"/>
  <c r="G56" i="81"/>
  <c r="H56" i="81"/>
  <c r="H25" i="55"/>
  <c r="G57" i="81"/>
  <c r="H57" i="81"/>
  <c r="H26" i="55"/>
  <c r="G58" i="81"/>
  <c r="H58" i="81"/>
  <c r="H27" i="55"/>
  <c r="G59" i="81"/>
  <c r="H59" i="81"/>
  <c r="H28" i="55"/>
  <c r="G60" i="81"/>
  <c r="H60" i="81"/>
  <c r="H29" i="55"/>
  <c r="G61" i="81"/>
  <c r="H61" i="81"/>
  <c r="H30" i="55"/>
  <c r="G62" i="81"/>
  <c r="H62" i="81"/>
  <c r="H31" i="55"/>
  <c r="H32" i="55"/>
  <c r="H33" i="55"/>
  <c r="H65" i="55"/>
  <c r="O65" i="55"/>
  <c r="G22" i="55"/>
  <c r="G23" i="55"/>
  <c r="G24" i="55"/>
  <c r="G25" i="55"/>
  <c r="G26" i="55"/>
  <c r="G27" i="55"/>
  <c r="G28" i="55"/>
  <c r="G29" i="55"/>
  <c r="G30" i="55"/>
  <c r="G31" i="55"/>
  <c r="G32" i="55"/>
  <c r="G33" i="55"/>
  <c r="G65" i="55"/>
  <c r="N65" i="55"/>
  <c r="E22" i="55"/>
  <c r="E23" i="55"/>
  <c r="E24" i="55"/>
  <c r="E25" i="55"/>
  <c r="E26" i="55"/>
  <c r="E27" i="55"/>
  <c r="E28" i="55"/>
  <c r="E29" i="55"/>
  <c r="E30" i="55"/>
  <c r="E31" i="55"/>
  <c r="E32" i="55"/>
  <c r="E33" i="55"/>
  <c r="E65" i="55"/>
  <c r="L65" i="55"/>
  <c r="D22" i="55"/>
  <c r="D23" i="55"/>
  <c r="D24" i="55"/>
  <c r="D25" i="55"/>
  <c r="D26" i="55"/>
  <c r="D27" i="55"/>
  <c r="D28" i="55"/>
  <c r="D29" i="55"/>
  <c r="D30" i="55"/>
  <c r="D31" i="55"/>
  <c r="D32" i="55"/>
  <c r="D33" i="55"/>
  <c r="D65" i="55"/>
  <c r="K65" i="55"/>
  <c r="C22" i="55"/>
  <c r="C23" i="55"/>
  <c r="C24" i="55"/>
  <c r="C25" i="55"/>
  <c r="C26" i="55"/>
  <c r="C27" i="55"/>
  <c r="C28" i="55"/>
  <c r="C29" i="55"/>
  <c r="C30" i="55"/>
  <c r="C31" i="55"/>
  <c r="C32" i="55"/>
  <c r="C33" i="55"/>
  <c r="C65" i="55"/>
  <c r="J65" i="55"/>
  <c r="B22" i="55"/>
  <c r="B23" i="55"/>
  <c r="B24" i="55"/>
  <c r="B25" i="55"/>
  <c r="B26" i="55"/>
  <c r="B27" i="55"/>
  <c r="B28" i="55"/>
  <c r="B29" i="55"/>
  <c r="B30" i="55"/>
  <c r="B31" i="55"/>
  <c r="B32" i="55"/>
  <c r="I65" i="55"/>
  <c r="G8" i="57"/>
  <c r="G9" i="57"/>
  <c r="G10" i="57"/>
  <c r="G47" i="57"/>
  <c r="F73" i="57"/>
  <c r="F107" i="57"/>
  <c r="F135" i="57"/>
  <c r="F136" i="57"/>
  <c r="D146" i="57"/>
  <c r="M55" i="81"/>
  <c r="L55" i="81"/>
  <c r="K55" i="81"/>
  <c r="J55" i="81"/>
  <c r="I55" i="81"/>
  <c r="M54" i="81"/>
  <c r="L54" i="81"/>
  <c r="K54" i="81"/>
  <c r="J54" i="81"/>
  <c r="I54" i="81"/>
  <c r="M53" i="81"/>
  <c r="L53" i="81"/>
  <c r="K53" i="81"/>
  <c r="J53" i="81"/>
  <c r="I53" i="81"/>
  <c r="M52" i="81"/>
  <c r="L52" i="81"/>
  <c r="K52" i="81"/>
  <c r="J52" i="81"/>
  <c r="I52" i="81"/>
  <c r="M51" i="81"/>
  <c r="L51" i="81"/>
  <c r="K51" i="81"/>
  <c r="J51" i="81"/>
  <c r="I51" i="81"/>
  <c r="M50" i="81"/>
  <c r="L50" i="81"/>
  <c r="K50" i="81"/>
  <c r="J50" i="81"/>
  <c r="I50" i="81"/>
  <c r="M49" i="81"/>
  <c r="L49" i="81"/>
  <c r="K49" i="81"/>
  <c r="J49" i="81"/>
  <c r="I49" i="81"/>
  <c r="M48" i="81"/>
  <c r="L48" i="81"/>
  <c r="K48" i="81"/>
  <c r="J48" i="81"/>
  <c r="I48" i="81"/>
  <c r="M47" i="81"/>
  <c r="L47" i="81"/>
  <c r="K47" i="81"/>
  <c r="J47" i="81"/>
  <c r="I47" i="81"/>
  <c r="M46" i="81"/>
  <c r="L46" i="81"/>
  <c r="K46" i="81"/>
  <c r="J46" i="81"/>
  <c r="I46" i="81"/>
  <c r="M45" i="81"/>
  <c r="L45" i="81"/>
  <c r="K45" i="81"/>
  <c r="J45" i="81"/>
  <c r="I45" i="81"/>
  <c r="M44" i="81"/>
  <c r="L44" i="81"/>
  <c r="K44" i="81"/>
  <c r="J44" i="81"/>
  <c r="I44" i="81"/>
  <c r="M43" i="81"/>
  <c r="L43" i="81"/>
  <c r="K43" i="81"/>
  <c r="J43" i="81"/>
  <c r="I43" i="81"/>
  <c r="M42" i="81"/>
  <c r="L42" i="81"/>
  <c r="K42" i="81"/>
  <c r="J42" i="81"/>
  <c r="I42" i="81"/>
  <c r="C10" i="55"/>
  <c r="D10" i="55"/>
  <c r="E10" i="55"/>
  <c r="F10" i="55"/>
  <c r="G10" i="55"/>
  <c r="H10" i="55"/>
  <c r="B8" i="55"/>
  <c r="K16" i="22"/>
  <c r="K11" i="22"/>
  <c r="J205" i="55"/>
  <c r="J209" i="55"/>
  <c r="H28" i="21"/>
  <c r="I50" i="22"/>
  <c r="I44" i="22"/>
  <c r="I38" i="22"/>
  <c r="I56" i="22"/>
  <c r="I62" i="22"/>
  <c r="I66" i="22"/>
  <c r="J16" i="22"/>
  <c r="J11" i="22"/>
  <c r="I205" i="55"/>
  <c r="I209" i="55"/>
  <c r="G28" i="21"/>
  <c r="H50" i="22"/>
  <c r="H44" i="22"/>
  <c r="H38" i="22"/>
  <c r="H56" i="22"/>
  <c r="H62" i="22"/>
  <c r="H66" i="22"/>
  <c r="I16" i="22"/>
  <c r="I11" i="22"/>
  <c r="H205" i="55"/>
  <c r="H209" i="55"/>
  <c r="F28" i="21"/>
  <c r="G50" i="22"/>
  <c r="G44" i="22"/>
  <c r="G38" i="22"/>
  <c r="G56" i="22"/>
  <c r="G62" i="22"/>
  <c r="G66" i="22"/>
  <c r="H16" i="22"/>
  <c r="H11" i="22"/>
  <c r="G205" i="55"/>
  <c r="G209" i="55"/>
  <c r="E28" i="21"/>
  <c r="F50" i="22"/>
  <c r="F44" i="22"/>
  <c r="F38" i="22"/>
  <c r="F56" i="22"/>
  <c r="F62" i="22"/>
  <c r="F66" i="22"/>
  <c r="G16" i="22"/>
  <c r="G11" i="22"/>
  <c r="F205" i="55"/>
  <c r="F209" i="55"/>
  <c r="D28" i="21"/>
  <c r="E50" i="22"/>
  <c r="E44" i="22"/>
  <c r="E38" i="22"/>
  <c r="E56" i="22"/>
  <c r="E62" i="22"/>
  <c r="E66" i="22"/>
  <c r="F16" i="22"/>
  <c r="F11" i="22"/>
  <c r="E205" i="55"/>
  <c r="E209" i="55"/>
  <c r="C28" i="21"/>
  <c r="D50" i="22"/>
  <c r="D44" i="22"/>
  <c r="D38" i="22"/>
  <c r="D56" i="22"/>
  <c r="D62" i="22"/>
  <c r="D66" i="22"/>
  <c r="E16" i="22"/>
  <c r="E11" i="22"/>
  <c r="D205" i="55"/>
  <c r="D209" i="55"/>
  <c r="B28" i="21"/>
  <c r="C50" i="22"/>
  <c r="C44" i="22"/>
  <c r="C38" i="22"/>
  <c r="C56" i="22"/>
  <c r="C62" i="22"/>
  <c r="C66" i="22"/>
  <c r="D178" i="55"/>
  <c r="D179" i="55"/>
  <c r="D181" i="55"/>
  <c r="B92" i="81"/>
  <c r="C9" i="53"/>
  <c r="C62" i="53"/>
  <c r="D130" i="53"/>
  <c r="B93" i="81"/>
  <c r="C10" i="53"/>
  <c r="C63" i="53"/>
  <c r="D131" i="53"/>
  <c r="B94" i="81"/>
  <c r="C11" i="53"/>
  <c r="C64" i="53"/>
  <c r="D132" i="53"/>
  <c r="B95" i="81"/>
  <c r="C12" i="53"/>
  <c r="C65" i="53"/>
  <c r="D133" i="53"/>
  <c r="B96" i="81"/>
  <c r="C13" i="53"/>
  <c r="C66" i="53"/>
  <c r="D134" i="53"/>
  <c r="B97" i="81"/>
  <c r="C14" i="53"/>
  <c r="C67" i="53"/>
  <c r="D135" i="53"/>
  <c r="B98" i="81"/>
  <c r="C15" i="53"/>
  <c r="C68" i="53"/>
  <c r="D136" i="53"/>
  <c r="B99" i="81"/>
  <c r="C16" i="53"/>
  <c r="C69" i="53"/>
  <c r="D137" i="53"/>
  <c r="C18" i="53"/>
  <c r="C71" i="53"/>
  <c r="D139" i="53"/>
  <c r="C19" i="53"/>
  <c r="C72" i="53"/>
  <c r="D140" i="53"/>
  <c r="B103" i="81"/>
  <c r="C20" i="53"/>
  <c r="C73" i="53"/>
  <c r="D141" i="53"/>
  <c r="B104" i="81"/>
  <c r="C21" i="53"/>
  <c r="C74" i="53"/>
  <c r="D142" i="53"/>
  <c r="B105" i="81"/>
  <c r="C22" i="53"/>
  <c r="C75" i="53"/>
  <c r="D143" i="53"/>
  <c r="B106" i="81"/>
  <c r="C23" i="53"/>
  <c r="C76" i="53"/>
  <c r="D144" i="53"/>
  <c r="B107" i="81"/>
  <c r="C24" i="53"/>
  <c r="C77" i="53"/>
  <c r="D145" i="53"/>
  <c r="B108" i="81"/>
  <c r="C25" i="53"/>
  <c r="C78" i="53"/>
  <c r="D146" i="53"/>
  <c r="B110" i="81"/>
  <c r="C27" i="53"/>
  <c r="C80" i="53"/>
  <c r="D148" i="53"/>
  <c r="B111" i="81"/>
  <c r="C28" i="53"/>
  <c r="C81" i="53"/>
  <c r="D149" i="53"/>
  <c r="B112" i="81"/>
  <c r="C29" i="53"/>
  <c r="C82" i="53"/>
  <c r="D150" i="53"/>
  <c r="C114" i="53"/>
  <c r="D182" i="53"/>
  <c r="C115" i="53"/>
  <c r="D183" i="53"/>
  <c r="C116" i="53"/>
  <c r="D184" i="53"/>
  <c r="C118" i="53"/>
  <c r="D187" i="53"/>
  <c r="C119" i="53"/>
  <c r="D188" i="53"/>
  <c r="D191" i="53"/>
  <c r="E35" i="61"/>
  <c r="B10" i="42"/>
  <c r="D21" i="42"/>
  <c r="D23" i="42"/>
  <c r="E39" i="61"/>
  <c r="D189" i="55"/>
  <c r="D190" i="55"/>
  <c r="D192" i="55"/>
  <c r="B194" i="55"/>
  <c r="D198" i="53"/>
  <c r="D199" i="53"/>
  <c r="D200" i="53"/>
  <c r="D201" i="53"/>
  <c r="D202" i="53"/>
  <c r="D203" i="53"/>
  <c r="D204" i="53"/>
  <c r="D205" i="53"/>
  <c r="D207" i="53"/>
  <c r="D208" i="53"/>
  <c r="D209" i="53"/>
  <c r="D210" i="53"/>
  <c r="D211" i="53"/>
  <c r="D212" i="53"/>
  <c r="D213" i="53"/>
  <c r="D214" i="53"/>
  <c r="D216" i="53"/>
  <c r="D217" i="53"/>
  <c r="D218" i="53"/>
  <c r="D246" i="53"/>
  <c r="D247" i="53"/>
  <c r="D248" i="53"/>
  <c r="D251" i="53"/>
  <c r="D252" i="53"/>
  <c r="D254" i="53"/>
  <c r="D255" i="53"/>
  <c r="E15" i="61"/>
  <c r="E17" i="61"/>
  <c r="B166" i="84"/>
  <c r="E18" i="61"/>
  <c r="E48" i="61"/>
  <c r="D28" i="42"/>
  <c r="D27" i="42"/>
  <c r="D30" i="42"/>
  <c r="D29" i="42"/>
  <c r="D34" i="42"/>
  <c r="E52" i="61"/>
  <c r="E51" i="61"/>
  <c r="E53" i="61"/>
  <c r="F5" i="62"/>
  <c r="F6" i="62"/>
  <c r="F7" i="62"/>
  <c r="F8" i="62"/>
  <c r="F9" i="62"/>
  <c r="F10" i="62"/>
  <c r="F12" i="62"/>
  <c r="E19" i="62"/>
  <c r="C15" i="29"/>
  <c r="L5" i="62"/>
  <c r="N5" i="62"/>
  <c r="M6" i="62"/>
  <c r="L6" i="62"/>
  <c r="N6" i="62"/>
  <c r="M7" i="62"/>
  <c r="L7" i="62"/>
  <c r="N7" i="62"/>
  <c r="M8" i="62"/>
  <c r="L8" i="62"/>
  <c r="N8" i="62"/>
  <c r="M9" i="62"/>
  <c r="L9" i="62"/>
  <c r="N9" i="62"/>
  <c r="M10" i="62"/>
  <c r="L10" i="62"/>
  <c r="N10" i="62"/>
  <c r="N12" i="62"/>
  <c r="M19" i="62"/>
  <c r="L11" i="62"/>
  <c r="L12" i="62"/>
  <c r="M21" i="62"/>
  <c r="M20" i="62"/>
  <c r="M22" i="62"/>
  <c r="B176" i="85"/>
  <c r="J193" i="55"/>
  <c r="J194" i="55"/>
  <c r="I193" i="55"/>
  <c r="I194" i="55"/>
  <c r="I189" i="55"/>
  <c r="I190" i="55"/>
  <c r="I192" i="55"/>
  <c r="J16" i="61"/>
  <c r="K7" i="61"/>
  <c r="J200" i="55"/>
  <c r="J189" i="55"/>
  <c r="J190" i="55"/>
  <c r="J192" i="55"/>
  <c r="K16" i="61"/>
  <c r="J201" i="55"/>
  <c r="J203" i="55"/>
  <c r="H18" i="21"/>
  <c r="C92" i="81"/>
  <c r="D92" i="81"/>
  <c r="E92" i="81"/>
  <c r="F92" i="81"/>
  <c r="G92" i="81"/>
  <c r="H92" i="81"/>
  <c r="I9" i="53"/>
  <c r="I62" i="53"/>
  <c r="J198" i="53"/>
  <c r="C101" i="81"/>
  <c r="D101" i="81"/>
  <c r="E101" i="81"/>
  <c r="F101" i="81"/>
  <c r="G101" i="81"/>
  <c r="H101" i="81"/>
  <c r="I18" i="53"/>
  <c r="I71" i="53"/>
  <c r="C102" i="81"/>
  <c r="D102" i="81"/>
  <c r="E102" i="81"/>
  <c r="F102" i="81"/>
  <c r="G102" i="81"/>
  <c r="H102" i="81"/>
  <c r="I19" i="53"/>
  <c r="I72" i="53"/>
  <c r="C103" i="81"/>
  <c r="D103" i="81"/>
  <c r="E103" i="81"/>
  <c r="F103" i="81"/>
  <c r="G103" i="81"/>
  <c r="H103" i="81"/>
  <c r="I20" i="53"/>
  <c r="I73" i="53"/>
  <c r="C104" i="81"/>
  <c r="D104" i="81"/>
  <c r="E104" i="81"/>
  <c r="F104" i="81"/>
  <c r="G104" i="81"/>
  <c r="H104" i="81"/>
  <c r="I21" i="53"/>
  <c r="I74" i="53"/>
  <c r="C105" i="81"/>
  <c r="D105" i="81"/>
  <c r="E105" i="81"/>
  <c r="F105" i="81"/>
  <c r="G105" i="81"/>
  <c r="H105" i="81"/>
  <c r="I22" i="53"/>
  <c r="I75" i="53"/>
  <c r="C106" i="81"/>
  <c r="D106" i="81"/>
  <c r="E106" i="81"/>
  <c r="F106" i="81"/>
  <c r="G106" i="81"/>
  <c r="H106" i="81"/>
  <c r="I23" i="53"/>
  <c r="I76" i="53"/>
  <c r="C107" i="81"/>
  <c r="D107" i="81"/>
  <c r="E107" i="81"/>
  <c r="F107" i="81"/>
  <c r="G107" i="81"/>
  <c r="H107" i="81"/>
  <c r="I24" i="53"/>
  <c r="I77" i="53"/>
  <c r="C108" i="81"/>
  <c r="D108" i="81"/>
  <c r="E108" i="81"/>
  <c r="F108" i="81"/>
  <c r="G108" i="81"/>
  <c r="H108" i="81"/>
  <c r="I25" i="53"/>
  <c r="I78" i="53"/>
  <c r="C93" i="81"/>
  <c r="D93" i="81"/>
  <c r="E93" i="81"/>
  <c r="F93" i="81"/>
  <c r="G93" i="81"/>
  <c r="H93" i="81"/>
  <c r="I10" i="53"/>
  <c r="I63" i="53"/>
  <c r="C94" i="81"/>
  <c r="D94" i="81"/>
  <c r="E94" i="81"/>
  <c r="F94" i="81"/>
  <c r="G94" i="81"/>
  <c r="H94" i="81"/>
  <c r="I11" i="53"/>
  <c r="I64" i="53"/>
  <c r="C95" i="81"/>
  <c r="D95" i="81"/>
  <c r="E95" i="81"/>
  <c r="F95" i="81"/>
  <c r="G95" i="81"/>
  <c r="H95" i="81"/>
  <c r="I12" i="53"/>
  <c r="I65" i="53"/>
  <c r="C96" i="81"/>
  <c r="D96" i="81"/>
  <c r="E96" i="81"/>
  <c r="F96" i="81"/>
  <c r="G96" i="81"/>
  <c r="H96" i="81"/>
  <c r="I13" i="53"/>
  <c r="I66" i="53"/>
  <c r="C97" i="81"/>
  <c r="D97" i="81"/>
  <c r="E97" i="81"/>
  <c r="F97" i="81"/>
  <c r="G97" i="81"/>
  <c r="H97" i="81"/>
  <c r="I14" i="53"/>
  <c r="I67" i="53"/>
  <c r="C98" i="81"/>
  <c r="D98" i="81"/>
  <c r="E98" i="81"/>
  <c r="F98" i="81"/>
  <c r="G98" i="81"/>
  <c r="H98" i="81"/>
  <c r="I15" i="53"/>
  <c r="I68" i="53"/>
  <c r="C99" i="81"/>
  <c r="D99" i="81"/>
  <c r="E99" i="81"/>
  <c r="F99" i="81"/>
  <c r="G99" i="81"/>
  <c r="H99" i="81"/>
  <c r="I16" i="53"/>
  <c r="I69" i="53"/>
  <c r="C110" i="81"/>
  <c r="D110" i="81"/>
  <c r="E110" i="81"/>
  <c r="F110" i="81"/>
  <c r="G110" i="81"/>
  <c r="H110" i="81"/>
  <c r="I27" i="53"/>
  <c r="I80" i="53"/>
  <c r="C111" i="81"/>
  <c r="D111" i="81"/>
  <c r="E111" i="81"/>
  <c r="F111" i="81"/>
  <c r="G111" i="81"/>
  <c r="H111" i="81"/>
  <c r="I28" i="53"/>
  <c r="I81" i="53"/>
  <c r="C112" i="81"/>
  <c r="D112" i="81"/>
  <c r="E112" i="81"/>
  <c r="F112" i="81"/>
  <c r="G112" i="81"/>
  <c r="H112" i="81"/>
  <c r="I29" i="53"/>
  <c r="I82" i="53"/>
  <c r="I114" i="53"/>
  <c r="J246" i="53"/>
  <c r="I115" i="53"/>
  <c r="J247" i="53"/>
  <c r="I116" i="53"/>
  <c r="J248" i="53"/>
  <c r="I118" i="53"/>
  <c r="J251" i="53"/>
  <c r="I119" i="53"/>
  <c r="J252" i="53"/>
  <c r="J254" i="53"/>
  <c r="J255" i="53"/>
  <c r="H9" i="53"/>
  <c r="H62" i="53"/>
  <c r="I198" i="53"/>
  <c r="H18" i="53"/>
  <c r="H71" i="53"/>
  <c r="H19" i="53"/>
  <c r="H72" i="53"/>
  <c r="H20" i="53"/>
  <c r="H73" i="53"/>
  <c r="H21" i="53"/>
  <c r="H74" i="53"/>
  <c r="H22" i="53"/>
  <c r="H75" i="53"/>
  <c r="H23" i="53"/>
  <c r="H76" i="53"/>
  <c r="H24" i="53"/>
  <c r="H77" i="53"/>
  <c r="H25" i="53"/>
  <c r="H78" i="53"/>
  <c r="H10" i="53"/>
  <c r="H63" i="53"/>
  <c r="H11" i="53"/>
  <c r="H64" i="53"/>
  <c r="H12" i="53"/>
  <c r="H65" i="53"/>
  <c r="H13" i="53"/>
  <c r="H66" i="53"/>
  <c r="H14" i="53"/>
  <c r="H67" i="53"/>
  <c r="H15" i="53"/>
  <c r="H68" i="53"/>
  <c r="H16" i="53"/>
  <c r="H69" i="53"/>
  <c r="H27" i="53"/>
  <c r="H80" i="53"/>
  <c r="H28" i="53"/>
  <c r="H81" i="53"/>
  <c r="H29" i="53"/>
  <c r="H82" i="53"/>
  <c r="H114" i="53"/>
  <c r="I246" i="53"/>
  <c r="H115" i="53"/>
  <c r="I247" i="53"/>
  <c r="H116" i="53"/>
  <c r="I248" i="53"/>
  <c r="H118" i="53"/>
  <c r="I251" i="53"/>
  <c r="H119" i="53"/>
  <c r="I252" i="53"/>
  <c r="I254" i="53"/>
  <c r="I255" i="53"/>
  <c r="I207" i="53"/>
  <c r="I208" i="53"/>
  <c r="I209" i="53"/>
  <c r="I210" i="53"/>
  <c r="I211" i="53"/>
  <c r="I212" i="53"/>
  <c r="I213" i="53"/>
  <c r="I214" i="53"/>
  <c r="I199" i="53"/>
  <c r="I200" i="53"/>
  <c r="I201" i="53"/>
  <c r="I202" i="53"/>
  <c r="I203" i="53"/>
  <c r="I204" i="53"/>
  <c r="I205" i="53"/>
  <c r="I216" i="53"/>
  <c r="I217" i="53"/>
  <c r="I218" i="53"/>
  <c r="J15" i="61"/>
  <c r="K6" i="61"/>
  <c r="J260" i="53"/>
  <c r="J207" i="53"/>
  <c r="J208" i="53"/>
  <c r="J209" i="53"/>
  <c r="J210" i="53"/>
  <c r="J211" i="53"/>
  <c r="J212" i="53"/>
  <c r="J213" i="53"/>
  <c r="J214" i="53"/>
  <c r="J199" i="53"/>
  <c r="J200" i="53"/>
  <c r="J201" i="53"/>
  <c r="J202" i="53"/>
  <c r="J203" i="53"/>
  <c r="J204" i="53"/>
  <c r="J205" i="53"/>
  <c r="J216" i="53"/>
  <c r="J217" i="53"/>
  <c r="J218" i="53"/>
  <c r="K15" i="61"/>
  <c r="J261" i="53"/>
  <c r="J263" i="53"/>
  <c r="H22" i="21"/>
  <c r="J28" i="42"/>
  <c r="J27" i="42"/>
  <c r="C9" i="42"/>
  <c r="D9" i="42"/>
  <c r="E9" i="42"/>
  <c r="F9" i="42"/>
  <c r="H10" i="42"/>
  <c r="J30" i="42"/>
  <c r="J29" i="42"/>
  <c r="J34" i="42"/>
  <c r="H20" i="21"/>
  <c r="J17" i="61"/>
  <c r="K8" i="61"/>
  <c r="J164" i="72"/>
  <c r="K17" i="61"/>
  <c r="J165" i="72"/>
  <c r="J167" i="72"/>
  <c r="H19" i="21"/>
  <c r="J18" i="61"/>
  <c r="K9" i="61"/>
  <c r="J174" i="84"/>
  <c r="K18" i="61"/>
  <c r="J175" i="84"/>
  <c r="J177" i="84"/>
  <c r="H23" i="21"/>
  <c r="H25" i="21"/>
  <c r="H38" i="21"/>
  <c r="J178" i="55"/>
  <c r="J179" i="55"/>
  <c r="J181" i="55"/>
  <c r="J183" i="55"/>
  <c r="J185" i="55"/>
  <c r="H8" i="21"/>
  <c r="J130" i="53"/>
  <c r="J182" i="53"/>
  <c r="J183" i="53"/>
  <c r="J184" i="53"/>
  <c r="J187" i="53"/>
  <c r="J188" i="53"/>
  <c r="J139" i="53"/>
  <c r="J140" i="53"/>
  <c r="J141" i="53"/>
  <c r="J142" i="53"/>
  <c r="J143" i="53"/>
  <c r="J144" i="53"/>
  <c r="J145" i="53"/>
  <c r="J146" i="53"/>
  <c r="J131" i="53"/>
  <c r="J132" i="53"/>
  <c r="J133" i="53"/>
  <c r="J134" i="53"/>
  <c r="J135" i="53"/>
  <c r="J136" i="53"/>
  <c r="J137" i="53"/>
  <c r="J148" i="53"/>
  <c r="J149" i="53"/>
  <c r="J150" i="53"/>
  <c r="J191" i="53"/>
  <c r="H12" i="21"/>
  <c r="J21" i="42"/>
  <c r="J23" i="42"/>
  <c r="H10" i="21"/>
  <c r="H15" i="21"/>
  <c r="H40" i="21"/>
  <c r="I109" i="29"/>
  <c r="I110" i="29"/>
  <c r="I26" i="68"/>
  <c r="I27" i="68"/>
  <c r="I112" i="29"/>
  <c r="H193" i="55"/>
  <c r="H194" i="55"/>
  <c r="H189" i="55"/>
  <c r="H190" i="55"/>
  <c r="H192" i="55"/>
  <c r="I16" i="61"/>
  <c r="J7" i="61"/>
  <c r="I200" i="55"/>
  <c r="I201" i="55"/>
  <c r="I203" i="55"/>
  <c r="G18" i="21"/>
  <c r="G9" i="53"/>
  <c r="G62" i="53"/>
  <c r="H198" i="53"/>
  <c r="G18" i="53"/>
  <c r="G71" i="53"/>
  <c r="G19" i="53"/>
  <c r="G72" i="53"/>
  <c r="G20" i="53"/>
  <c r="G73" i="53"/>
  <c r="G21" i="53"/>
  <c r="G74" i="53"/>
  <c r="G22" i="53"/>
  <c r="G75" i="53"/>
  <c r="G23" i="53"/>
  <c r="G76" i="53"/>
  <c r="G24" i="53"/>
  <c r="G77" i="53"/>
  <c r="G25" i="53"/>
  <c r="G78" i="53"/>
  <c r="G10" i="53"/>
  <c r="G63" i="53"/>
  <c r="G11" i="53"/>
  <c r="G64" i="53"/>
  <c r="G12" i="53"/>
  <c r="G65" i="53"/>
  <c r="G13" i="53"/>
  <c r="G66" i="53"/>
  <c r="G14" i="53"/>
  <c r="G67" i="53"/>
  <c r="G15" i="53"/>
  <c r="G68" i="53"/>
  <c r="G16" i="53"/>
  <c r="G69" i="53"/>
  <c r="G27" i="53"/>
  <c r="G80" i="53"/>
  <c r="G28" i="53"/>
  <c r="G81" i="53"/>
  <c r="G29" i="53"/>
  <c r="G82" i="53"/>
  <c r="G114" i="53"/>
  <c r="H246" i="53"/>
  <c r="G115" i="53"/>
  <c r="H247" i="53"/>
  <c r="G116" i="53"/>
  <c r="H248" i="53"/>
  <c r="G118" i="53"/>
  <c r="H251" i="53"/>
  <c r="G119" i="53"/>
  <c r="H252" i="53"/>
  <c r="H254" i="53"/>
  <c r="H255" i="53"/>
  <c r="H207" i="53"/>
  <c r="H208" i="53"/>
  <c r="H209" i="53"/>
  <c r="H210" i="53"/>
  <c r="H211" i="53"/>
  <c r="H212" i="53"/>
  <c r="H213" i="53"/>
  <c r="H214" i="53"/>
  <c r="H199" i="53"/>
  <c r="H200" i="53"/>
  <c r="H201" i="53"/>
  <c r="H202" i="53"/>
  <c r="H203" i="53"/>
  <c r="H204" i="53"/>
  <c r="H205" i="53"/>
  <c r="H216" i="53"/>
  <c r="H217" i="53"/>
  <c r="H218" i="53"/>
  <c r="I15" i="61"/>
  <c r="J6" i="61"/>
  <c r="I260" i="53"/>
  <c r="I261" i="53"/>
  <c r="I263" i="53"/>
  <c r="G22" i="21"/>
  <c r="I28" i="42"/>
  <c r="I27" i="42"/>
  <c r="G10" i="42"/>
  <c r="I30" i="42"/>
  <c r="I29" i="42"/>
  <c r="I34" i="42"/>
  <c r="G20" i="21"/>
  <c r="I17" i="61"/>
  <c r="J8" i="61"/>
  <c r="I164" i="72"/>
  <c r="I165" i="72"/>
  <c r="I167" i="72"/>
  <c r="G19" i="21"/>
  <c r="I18" i="61"/>
  <c r="J9" i="61"/>
  <c r="I174" i="84"/>
  <c r="I175" i="84"/>
  <c r="I177" i="84"/>
  <c r="G23" i="21"/>
  <c r="G25" i="21"/>
  <c r="G38" i="21"/>
  <c r="I178" i="55"/>
  <c r="I179" i="55"/>
  <c r="I181" i="55"/>
  <c r="I183" i="55"/>
  <c r="I185" i="55"/>
  <c r="G8" i="21"/>
  <c r="I130" i="53"/>
  <c r="I182" i="53"/>
  <c r="I183" i="53"/>
  <c r="I184" i="53"/>
  <c r="I187" i="53"/>
  <c r="I188" i="53"/>
  <c r="I139" i="53"/>
  <c r="I140" i="53"/>
  <c r="I141" i="53"/>
  <c r="I142" i="53"/>
  <c r="I143" i="53"/>
  <c r="I144" i="53"/>
  <c r="I145" i="53"/>
  <c r="I146" i="53"/>
  <c r="I131" i="53"/>
  <c r="I132" i="53"/>
  <c r="I133" i="53"/>
  <c r="I134" i="53"/>
  <c r="I135" i="53"/>
  <c r="I136" i="53"/>
  <c r="I137" i="53"/>
  <c r="I148" i="53"/>
  <c r="I149" i="53"/>
  <c r="I150" i="53"/>
  <c r="I191" i="53"/>
  <c r="G12" i="21"/>
  <c r="I21" i="42"/>
  <c r="I23" i="42"/>
  <c r="G10" i="21"/>
  <c r="G15" i="21"/>
  <c r="G40" i="21"/>
  <c r="H109" i="29"/>
  <c r="H110" i="29"/>
  <c r="H26" i="68"/>
  <c r="H27" i="68"/>
  <c r="H112" i="29"/>
  <c r="C71" i="29"/>
  <c r="C83" i="29"/>
  <c r="C94" i="29"/>
  <c r="B77" i="81"/>
  <c r="G193" i="55"/>
  <c r="F193" i="55"/>
  <c r="E193" i="55"/>
  <c r="G194" i="55"/>
  <c r="F194" i="55"/>
  <c r="E194" i="55"/>
  <c r="G192" i="55"/>
  <c r="F192" i="55"/>
  <c r="E192" i="55"/>
  <c r="G190" i="55"/>
  <c r="F190" i="55"/>
  <c r="E190" i="55"/>
  <c r="G189" i="55"/>
  <c r="F189" i="55"/>
  <c r="E189" i="55"/>
  <c r="H183" i="55"/>
  <c r="G183" i="55"/>
  <c r="F183" i="55"/>
  <c r="E183" i="55"/>
  <c r="H181" i="55"/>
  <c r="G181" i="55"/>
  <c r="F181" i="55"/>
  <c r="E181" i="55"/>
  <c r="H179" i="55"/>
  <c r="G179" i="55"/>
  <c r="F179" i="55"/>
  <c r="E179" i="55"/>
  <c r="H178" i="55"/>
  <c r="G178" i="55"/>
  <c r="F178" i="55"/>
  <c r="E178" i="55"/>
  <c r="B68" i="81"/>
  <c r="C10" i="87"/>
  <c r="C11" i="87"/>
  <c r="D10" i="87"/>
  <c r="D11" i="87"/>
  <c r="E10" i="87"/>
  <c r="E11" i="87"/>
  <c r="F10" i="87"/>
  <c r="F11" i="87"/>
  <c r="G10" i="87"/>
  <c r="G11" i="87"/>
  <c r="H10" i="87"/>
  <c r="H11" i="87"/>
  <c r="I10" i="87"/>
  <c r="I11" i="87"/>
  <c r="V5" i="87"/>
  <c r="V6" i="87"/>
  <c r="X4" i="87"/>
  <c r="I7" i="57"/>
  <c r="L69" i="86"/>
  <c r="L68" i="86"/>
  <c r="L67" i="86"/>
  <c r="L66" i="86"/>
  <c r="K66" i="86"/>
  <c r="L65" i="86"/>
  <c r="L64" i="86"/>
  <c r="L63" i="86"/>
  <c r="L62" i="86"/>
  <c r="K62" i="86"/>
  <c r="L194" i="55"/>
  <c r="E65" i="86"/>
  <c r="E64" i="86"/>
  <c r="E63" i="86"/>
  <c r="L27" i="42"/>
  <c r="M11" i="87"/>
  <c r="N11" i="87"/>
  <c r="O11" i="87"/>
  <c r="P11" i="87"/>
  <c r="Q11" i="87"/>
  <c r="R11" i="87"/>
  <c r="F6" i="57"/>
  <c r="F61" i="86"/>
  <c r="K198" i="55"/>
  <c r="B144" i="72"/>
  <c r="B145" i="72"/>
  <c r="C139" i="72"/>
  <c r="C144" i="72"/>
  <c r="C143" i="72"/>
  <c r="C141" i="72"/>
  <c r="C140" i="72"/>
  <c r="B19" i="87"/>
  <c r="A179" i="55"/>
  <c r="A190" i="55"/>
  <c r="D171" i="72"/>
  <c r="D170" i="72"/>
  <c r="D174" i="72"/>
  <c r="K26" i="87"/>
  <c r="A152" i="72"/>
  <c r="K20" i="87"/>
  <c r="K24" i="87"/>
  <c r="K18" i="87"/>
  <c r="K23" i="87"/>
  <c r="R9" i="87"/>
  <c r="R10" i="87"/>
  <c r="Q9" i="87"/>
  <c r="Q10" i="87"/>
  <c r="P9" i="87"/>
  <c r="P10" i="87"/>
  <c r="O9" i="87"/>
  <c r="O10" i="87"/>
  <c r="N9" i="87"/>
  <c r="N10" i="87"/>
  <c r="M9" i="87"/>
  <c r="M10" i="87"/>
  <c r="L9" i="87"/>
  <c r="D153" i="72"/>
  <c r="B20" i="87"/>
  <c r="A181" i="55"/>
  <c r="A192" i="55"/>
  <c r="B18" i="87"/>
  <c r="A178" i="55"/>
  <c r="A189" i="55"/>
  <c r="E50" i="48"/>
  <c r="F50" i="48"/>
  <c r="G50" i="48"/>
  <c r="H50" i="48"/>
  <c r="I50" i="48"/>
  <c r="J50" i="48"/>
  <c r="K50" i="48"/>
  <c r="A36" i="48"/>
  <c r="B16" i="48"/>
  <c r="A35" i="48"/>
  <c r="B15" i="48"/>
  <c r="A34" i="48"/>
  <c r="B14" i="48"/>
  <c r="A33" i="48"/>
  <c r="B12" i="48"/>
  <c r="A31" i="48"/>
  <c r="K8" i="88"/>
  <c r="K7" i="88"/>
  <c r="J7" i="88"/>
  <c r="C60" i="86"/>
  <c r="B13" i="48"/>
  <c r="A32" i="48"/>
  <c r="F8" i="48"/>
  <c r="H8" i="48"/>
  <c r="J8" i="48"/>
  <c r="M8" i="48"/>
  <c r="F22" i="48"/>
  <c r="G22" i="48"/>
  <c r="D8" i="87"/>
  <c r="E8" i="87"/>
  <c r="C9" i="87"/>
  <c r="B35" i="55"/>
  <c r="B92" i="55"/>
  <c r="B36" i="55"/>
  <c r="B93" i="55"/>
  <c r="B145" i="55"/>
  <c r="B37" i="55"/>
  <c r="B94" i="55"/>
  <c r="B38" i="55"/>
  <c r="B95" i="55"/>
  <c r="B39" i="55"/>
  <c r="B96" i="55"/>
  <c r="B148" i="55"/>
  <c r="B40" i="55"/>
  <c r="B97" i="55"/>
  <c r="B149" i="55"/>
  <c r="B41" i="55"/>
  <c r="B98" i="55"/>
  <c r="B42" i="55"/>
  <c r="B99" i="55"/>
  <c r="B43" i="55"/>
  <c r="B100" i="55"/>
  <c r="B152" i="55"/>
  <c r="B44" i="55"/>
  <c r="B101" i="55"/>
  <c r="B153" i="55"/>
  <c r="B45" i="55"/>
  <c r="B102" i="55"/>
  <c r="B46" i="55"/>
  <c r="B103" i="55"/>
  <c r="B47" i="55"/>
  <c r="B104" i="55"/>
  <c r="B48" i="55"/>
  <c r="B105" i="55"/>
  <c r="B157" i="55"/>
  <c r="B49" i="55"/>
  <c r="B106" i="55"/>
  <c r="B50" i="55"/>
  <c r="B107" i="55"/>
  <c r="B51" i="55"/>
  <c r="B108" i="55"/>
  <c r="B52" i="55"/>
  <c r="B109" i="55"/>
  <c r="B161" i="55"/>
  <c r="B162" i="55"/>
  <c r="B163" i="55"/>
  <c r="B164" i="55"/>
  <c r="B56" i="55"/>
  <c r="B113" i="55"/>
  <c r="B57" i="55"/>
  <c r="B114" i="55"/>
  <c r="B58" i="55"/>
  <c r="B115" i="55"/>
  <c r="B167" i="55"/>
  <c r="B59" i="55"/>
  <c r="B116" i="55"/>
  <c r="B168" i="55"/>
  <c r="D27" i="48"/>
  <c r="F9" i="48"/>
  <c r="H9" i="48"/>
  <c r="D28" i="48"/>
  <c r="F10" i="48"/>
  <c r="H10" i="48"/>
  <c r="C29" i="48"/>
  <c r="D29" i="48"/>
  <c r="F11" i="48"/>
  <c r="H11" i="48"/>
  <c r="D30" i="48"/>
  <c r="D31" i="48"/>
  <c r="D32" i="48"/>
  <c r="D33" i="48"/>
  <c r="D34" i="48"/>
  <c r="D35" i="48"/>
  <c r="C36" i="48"/>
  <c r="E36" i="48"/>
  <c r="D36" i="48"/>
  <c r="L28" i="42"/>
  <c r="M11" i="48"/>
  <c r="M10" i="48"/>
  <c r="M9" i="48"/>
  <c r="M12" i="48"/>
  <c r="M13" i="48"/>
  <c r="M14" i="48"/>
  <c r="M15" i="48"/>
  <c r="M16" i="48"/>
  <c r="E133" i="72"/>
  <c r="E170" i="72"/>
  <c r="B7" i="83"/>
  <c r="B9" i="83"/>
  <c r="D14" i="83"/>
  <c r="B102" i="83"/>
  <c r="C33" i="53"/>
  <c r="C86" i="53"/>
  <c r="D15" i="83"/>
  <c r="B103" i="83"/>
  <c r="C34" i="53"/>
  <c r="C87" i="53"/>
  <c r="D16" i="83"/>
  <c r="B104" i="83"/>
  <c r="C35" i="53"/>
  <c r="C88" i="53"/>
  <c r="D17" i="83"/>
  <c r="B105" i="83"/>
  <c r="C36" i="53"/>
  <c r="C89" i="53"/>
  <c r="D18" i="83"/>
  <c r="B106" i="83"/>
  <c r="C37" i="53"/>
  <c r="C90" i="53"/>
  <c r="D19" i="83"/>
  <c r="B107" i="83"/>
  <c r="C38" i="53"/>
  <c r="C91" i="53"/>
  <c r="D20" i="83"/>
  <c r="B108" i="83"/>
  <c r="C39" i="53"/>
  <c r="C92" i="53"/>
  <c r="D21" i="83"/>
  <c r="B109" i="83"/>
  <c r="C40" i="53"/>
  <c r="C93" i="53"/>
  <c r="D22" i="83"/>
  <c r="B110" i="83"/>
  <c r="C41" i="53"/>
  <c r="C94" i="53"/>
  <c r="C23" i="83"/>
  <c r="D24" i="83"/>
  <c r="B111" i="83"/>
  <c r="C42" i="53"/>
  <c r="C95" i="53"/>
  <c r="D25" i="83"/>
  <c r="B112" i="83"/>
  <c r="C43" i="53"/>
  <c r="C96" i="53"/>
  <c r="D26" i="83"/>
  <c r="B113" i="83"/>
  <c r="C44" i="53"/>
  <c r="C97" i="53"/>
  <c r="D27" i="83"/>
  <c r="B114" i="83"/>
  <c r="C45" i="53"/>
  <c r="C98" i="53"/>
  <c r="D28" i="83"/>
  <c r="B115" i="83"/>
  <c r="C46" i="53"/>
  <c r="C99" i="53"/>
  <c r="D29" i="83"/>
  <c r="B116" i="83"/>
  <c r="C47" i="53"/>
  <c r="C100" i="53"/>
  <c r="D30" i="83"/>
  <c r="B117" i="83"/>
  <c r="C48" i="53"/>
  <c r="C101" i="53"/>
  <c r="D31" i="83"/>
  <c r="B118" i="83"/>
  <c r="C49" i="53"/>
  <c r="C102" i="53"/>
  <c r="C32" i="83"/>
  <c r="D33" i="83"/>
  <c r="B119" i="83"/>
  <c r="C50" i="53"/>
  <c r="C103" i="53"/>
  <c r="D34" i="83"/>
  <c r="B120" i="83"/>
  <c r="C51" i="53"/>
  <c r="C104" i="53"/>
  <c r="D35" i="83"/>
  <c r="B121" i="83"/>
  <c r="C52" i="53"/>
  <c r="C105" i="53"/>
  <c r="D36" i="83"/>
  <c r="B122" i="83"/>
  <c r="C53" i="53"/>
  <c r="C106" i="53"/>
  <c r="D37" i="83"/>
  <c r="B123" i="83"/>
  <c r="C54" i="53"/>
  <c r="C107" i="53"/>
  <c r="D38" i="83"/>
  <c r="B124" i="83"/>
  <c r="C55" i="53"/>
  <c r="C108" i="53"/>
  <c r="D39" i="83"/>
  <c r="B125" i="83"/>
  <c r="C56" i="53"/>
  <c r="C109" i="53"/>
  <c r="D40" i="83"/>
  <c r="B126" i="83"/>
  <c r="C57" i="53"/>
  <c r="C110" i="53"/>
  <c r="D154" i="53"/>
  <c r="D155" i="53"/>
  <c r="D156" i="53"/>
  <c r="D157" i="53"/>
  <c r="D158" i="53"/>
  <c r="D159" i="53"/>
  <c r="D160" i="53"/>
  <c r="D161" i="53"/>
  <c r="D162" i="53"/>
  <c r="D163" i="53"/>
  <c r="D164" i="53"/>
  <c r="D165" i="53"/>
  <c r="D166" i="53"/>
  <c r="D167" i="53"/>
  <c r="D168" i="53"/>
  <c r="D169" i="53"/>
  <c r="D170" i="53"/>
  <c r="D171" i="53"/>
  <c r="D172" i="53"/>
  <c r="D173" i="53"/>
  <c r="D174" i="53"/>
  <c r="D175" i="53"/>
  <c r="D176" i="53"/>
  <c r="D177" i="53"/>
  <c r="D178" i="53"/>
  <c r="F14" i="83"/>
  <c r="H14" i="83"/>
  <c r="B46" i="83"/>
  <c r="F15" i="83"/>
  <c r="H15" i="83"/>
  <c r="B47" i="83"/>
  <c r="F16" i="83"/>
  <c r="H16" i="83"/>
  <c r="B48" i="83"/>
  <c r="F17" i="83"/>
  <c r="H17" i="83"/>
  <c r="B49" i="83"/>
  <c r="F18" i="83"/>
  <c r="H18" i="83"/>
  <c r="B50" i="83"/>
  <c r="F19" i="83"/>
  <c r="H19" i="83"/>
  <c r="B51" i="83"/>
  <c r="F20" i="83"/>
  <c r="H20" i="83"/>
  <c r="B52" i="83"/>
  <c r="F21" i="83"/>
  <c r="H21" i="83"/>
  <c r="B53" i="83"/>
  <c r="F22" i="83"/>
  <c r="H22" i="83"/>
  <c r="B54" i="83"/>
  <c r="F24" i="83"/>
  <c r="H24" i="83"/>
  <c r="B55" i="83"/>
  <c r="F25" i="83"/>
  <c r="H25" i="83"/>
  <c r="B56" i="83"/>
  <c r="F26" i="83"/>
  <c r="H26" i="83"/>
  <c r="B57" i="83"/>
  <c r="F27" i="83"/>
  <c r="H27" i="83"/>
  <c r="B58" i="83"/>
  <c r="F28" i="83"/>
  <c r="H28" i="83"/>
  <c r="B59" i="83"/>
  <c r="F29" i="83"/>
  <c r="H29" i="83"/>
  <c r="B60" i="83"/>
  <c r="F30" i="83"/>
  <c r="H30" i="83"/>
  <c r="B61" i="83"/>
  <c r="F31" i="83"/>
  <c r="H31" i="83"/>
  <c r="B62" i="83"/>
  <c r="F33" i="83"/>
  <c r="H33" i="83"/>
  <c r="B63" i="83"/>
  <c r="F37" i="83"/>
  <c r="H37" i="83"/>
  <c r="B67" i="83"/>
  <c r="F38" i="83"/>
  <c r="H38" i="83"/>
  <c r="B68" i="83"/>
  <c r="F39" i="83"/>
  <c r="H39" i="83"/>
  <c r="B69" i="83"/>
  <c r="F40" i="83"/>
  <c r="H40" i="83"/>
  <c r="B70" i="83"/>
  <c r="B95" i="83"/>
  <c r="B34" i="84"/>
  <c r="B62" i="84"/>
  <c r="B124" i="84"/>
  <c r="B141" i="84"/>
  <c r="D154" i="84"/>
  <c r="B125" i="84"/>
  <c r="B142" i="84"/>
  <c r="D155" i="84"/>
  <c r="B126" i="84"/>
  <c r="B143" i="84"/>
  <c r="D156" i="84"/>
  <c r="D159" i="84"/>
  <c r="E40" i="61"/>
  <c r="D222" i="53"/>
  <c r="D223" i="53"/>
  <c r="D224" i="53"/>
  <c r="D225" i="53"/>
  <c r="D226" i="53"/>
  <c r="D227" i="53"/>
  <c r="D228" i="53"/>
  <c r="D229" i="53"/>
  <c r="D230" i="53"/>
  <c r="D231" i="53"/>
  <c r="D232" i="53"/>
  <c r="D233" i="53"/>
  <c r="D234" i="53"/>
  <c r="D235" i="53"/>
  <c r="D236" i="53"/>
  <c r="D237" i="53"/>
  <c r="D238" i="53"/>
  <c r="D239" i="53"/>
  <c r="D240" i="53"/>
  <c r="D241" i="53"/>
  <c r="D242" i="53"/>
  <c r="D243" i="53"/>
  <c r="D163" i="84"/>
  <c r="D164" i="84"/>
  <c r="B74" i="83"/>
  <c r="B13" i="84"/>
  <c r="B75" i="83"/>
  <c r="B14" i="84"/>
  <c r="B76" i="83"/>
  <c r="B15" i="84"/>
  <c r="B77" i="83"/>
  <c r="B16" i="84"/>
  <c r="B78" i="83"/>
  <c r="B17" i="84"/>
  <c r="B79" i="83"/>
  <c r="B18" i="84"/>
  <c r="B80" i="83"/>
  <c r="B19" i="84"/>
  <c r="B81" i="83"/>
  <c r="B20" i="84"/>
  <c r="B82" i="83"/>
  <c r="B21" i="84"/>
  <c r="B83" i="83"/>
  <c r="B22" i="84"/>
  <c r="B84" i="83"/>
  <c r="B23" i="84"/>
  <c r="B85" i="83"/>
  <c r="B24" i="84"/>
  <c r="B86" i="83"/>
  <c r="B25" i="84"/>
  <c r="B87" i="83"/>
  <c r="B26" i="84"/>
  <c r="B88" i="83"/>
  <c r="B27" i="84"/>
  <c r="B89" i="83"/>
  <c r="B28" i="84"/>
  <c r="B90" i="83"/>
  <c r="B29" i="84"/>
  <c r="B91" i="83"/>
  <c r="B30" i="84"/>
  <c r="F34" i="83"/>
  <c r="H34" i="83"/>
  <c r="B92" i="83"/>
  <c r="B31" i="84"/>
  <c r="F35" i="83"/>
  <c r="H35" i="83"/>
  <c r="B93" i="83"/>
  <c r="B32" i="84"/>
  <c r="F36" i="83"/>
  <c r="H36" i="83"/>
  <c r="B94" i="83"/>
  <c r="B33" i="84"/>
  <c r="B96" i="83"/>
  <c r="B35" i="84"/>
  <c r="B97" i="83"/>
  <c r="B36" i="84"/>
  <c r="B98" i="83"/>
  <c r="B37" i="84"/>
  <c r="B39" i="84"/>
  <c r="B12" i="84"/>
  <c r="D165" i="84"/>
  <c r="D167" i="84"/>
  <c r="D168" i="84"/>
  <c r="D169" i="84"/>
  <c r="F133" i="72"/>
  <c r="C46" i="83"/>
  <c r="D46" i="83"/>
  <c r="E46" i="83"/>
  <c r="F46" i="83"/>
  <c r="G46" i="83"/>
  <c r="G35" i="55"/>
  <c r="G92" i="55"/>
  <c r="G144" i="55"/>
  <c r="C47" i="83"/>
  <c r="D47" i="83"/>
  <c r="E47" i="83"/>
  <c r="F47" i="83"/>
  <c r="G47" i="83"/>
  <c r="G36" i="55"/>
  <c r="G93" i="55"/>
  <c r="G145" i="55"/>
  <c r="C48" i="83"/>
  <c r="D48" i="83"/>
  <c r="E48" i="83"/>
  <c r="F48" i="83"/>
  <c r="G48" i="83"/>
  <c r="G37" i="55"/>
  <c r="G94" i="55"/>
  <c r="G146" i="55"/>
  <c r="C49" i="83"/>
  <c r="D49" i="83"/>
  <c r="E49" i="83"/>
  <c r="F49" i="83"/>
  <c r="G49" i="83"/>
  <c r="G38" i="55"/>
  <c r="G95" i="55"/>
  <c r="G147" i="55"/>
  <c r="C50" i="83"/>
  <c r="D50" i="83"/>
  <c r="E50" i="83"/>
  <c r="F50" i="83"/>
  <c r="G50" i="83"/>
  <c r="G39" i="55"/>
  <c r="G96" i="55"/>
  <c r="G148" i="55"/>
  <c r="C51" i="83"/>
  <c r="D51" i="83"/>
  <c r="E51" i="83"/>
  <c r="F51" i="83"/>
  <c r="G51" i="83"/>
  <c r="G40" i="55"/>
  <c r="G97" i="55"/>
  <c r="G149" i="55"/>
  <c r="C52" i="83"/>
  <c r="D52" i="83"/>
  <c r="E52" i="83"/>
  <c r="F52" i="83"/>
  <c r="G52" i="83"/>
  <c r="G41" i="55"/>
  <c r="G98" i="55"/>
  <c r="G150" i="55"/>
  <c r="C53" i="83"/>
  <c r="D53" i="83"/>
  <c r="E53" i="83"/>
  <c r="F53" i="83"/>
  <c r="G53" i="83"/>
  <c r="G42" i="55"/>
  <c r="G99" i="55"/>
  <c r="G151" i="55"/>
  <c r="C54" i="83"/>
  <c r="D54" i="83"/>
  <c r="E54" i="83"/>
  <c r="F54" i="83"/>
  <c r="G54" i="83"/>
  <c r="G43" i="55"/>
  <c r="G100" i="55"/>
  <c r="G152" i="55"/>
  <c r="C55" i="83"/>
  <c r="D55" i="83"/>
  <c r="E55" i="83"/>
  <c r="F55" i="83"/>
  <c r="G55" i="83"/>
  <c r="G44" i="55"/>
  <c r="G101" i="55"/>
  <c r="G153" i="55"/>
  <c r="C56" i="83"/>
  <c r="D56" i="83"/>
  <c r="E56" i="83"/>
  <c r="F56" i="83"/>
  <c r="G56" i="83"/>
  <c r="G45" i="55"/>
  <c r="G102" i="55"/>
  <c r="G154" i="55"/>
  <c r="C57" i="83"/>
  <c r="D57" i="83"/>
  <c r="E57" i="83"/>
  <c r="F57" i="83"/>
  <c r="G57" i="83"/>
  <c r="G46" i="55"/>
  <c r="G103" i="55"/>
  <c r="G155" i="55"/>
  <c r="C58" i="83"/>
  <c r="D58" i="83"/>
  <c r="E58" i="83"/>
  <c r="F58" i="83"/>
  <c r="G58" i="83"/>
  <c r="G47" i="55"/>
  <c r="G104" i="55"/>
  <c r="G156" i="55"/>
  <c r="C59" i="83"/>
  <c r="D59" i="83"/>
  <c r="E59" i="83"/>
  <c r="F59" i="83"/>
  <c r="G59" i="83"/>
  <c r="G48" i="55"/>
  <c r="G105" i="55"/>
  <c r="G157" i="55"/>
  <c r="C60" i="83"/>
  <c r="D60" i="83"/>
  <c r="E60" i="83"/>
  <c r="F60" i="83"/>
  <c r="G60" i="83"/>
  <c r="G49" i="55"/>
  <c r="G106" i="55"/>
  <c r="G158" i="55"/>
  <c r="C61" i="83"/>
  <c r="D61" i="83"/>
  <c r="E61" i="83"/>
  <c r="F61" i="83"/>
  <c r="G61" i="83"/>
  <c r="G50" i="55"/>
  <c r="G107" i="55"/>
  <c r="G159" i="55"/>
  <c r="C62" i="83"/>
  <c r="D62" i="83"/>
  <c r="E62" i="83"/>
  <c r="F62" i="83"/>
  <c r="G62" i="83"/>
  <c r="G51" i="55"/>
  <c r="G108" i="55"/>
  <c r="G160" i="55"/>
  <c r="C63" i="83"/>
  <c r="D63" i="83"/>
  <c r="E63" i="83"/>
  <c r="F63" i="83"/>
  <c r="G63" i="83"/>
  <c r="G52" i="55"/>
  <c r="G109" i="55"/>
  <c r="G161" i="55"/>
  <c r="C67" i="83"/>
  <c r="D67" i="83"/>
  <c r="E67" i="83"/>
  <c r="F67" i="83"/>
  <c r="G67" i="83"/>
  <c r="G56" i="55"/>
  <c r="G113" i="55"/>
  <c r="G165" i="55"/>
  <c r="C68" i="83"/>
  <c r="D68" i="83"/>
  <c r="E68" i="83"/>
  <c r="F68" i="83"/>
  <c r="G68" i="83"/>
  <c r="G57" i="55"/>
  <c r="G114" i="55"/>
  <c r="G166" i="55"/>
  <c r="C69" i="83"/>
  <c r="D69" i="83"/>
  <c r="E69" i="83"/>
  <c r="F69" i="83"/>
  <c r="G69" i="83"/>
  <c r="G58" i="55"/>
  <c r="G115" i="55"/>
  <c r="G167" i="55"/>
  <c r="C70" i="83"/>
  <c r="D70" i="83"/>
  <c r="E70" i="83"/>
  <c r="F70" i="83"/>
  <c r="G70" i="83"/>
  <c r="G59" i="55"/>
  <c r="G116" i="55"/>
  <c r="G168" i="55"/>
  <c r="H46" i="83"/>
  <c r="H35" i="55"/>
  <c r="H92" i="55"/>
  <c r="H47" i="83"/>
  <c r="H36" i="55"/>
  <c r="H93" i="55"/>
  <c r="H145" i="55"/>
  <c r="H48" i="83"/>
  <c r="H37" i="55"/>
  <c r="H94" i="55"/>
  <c r="H49" i="83"/>
  <c r="H38" i="55"/>
  <c r="H95" i="55"/>
  <c r="H147" i="55"/>
  <c r="H50" i="83"/>
  <c r="H39" i="55"/>
  <c r="H96" i="55"/>
  <c r="H51" i="83"/>
  <c r="H40" i="55"/>
  <c r="H97" i="55"/>
  <c r="H149" i="55"/>
  <c r="H52" i="83"/>
  <c r="H41" i="55"/>
  <c r="H98" i="55"/>
  <c r="H53" i="83"/>
  <c r="H42" i="55"/>
  <c r="H99" i="55"/>
  <c r="H151" i="55"/>
  <c r="H54" i="83"/>
  <c r="H43" i="55"/>
  <c r="H100" i="55"/>
  <c r="H55" i="83"/>
  <c r="H44" i="55"/>
  <c r="H101" i="55"/>
  <c r="H153" i="55"/>
  <c r="H56" i="83"/>
  <c r="H45" i="55"/>
  <c r="H102" i="55"/>
  <c r="H57" i="83"/>
  <c r="H46" i="55"/>
  <c r="H103" i="55"/>
  <c r="H155" i="55"/>
  <c r="H58" i="83"/>
  <c r="H47" i="55"/>
  <c r="H104" i="55"/>
  <c r="H59" i="83"/>
  <c r="H48" i="55"/>
  <c r="H105" i="55"/>
  <c r="H157" i="55"/>
  <c r="H60" i="83"/>
  <c r="H49" i="55"/>
  <c r="H106" i="55"/>
  <c r="H61" i="83"/>
  <c r="H50" i="55"/>
  <c r="H107" i="55"/>
  <c r="H159" i="55"/>
  <c r="H62" i="83"/>
  <c r="H51" i="55"/>
  <c r="H108" i="55"/>
  <c r="H63" i="83"/>
  <c r="H52" i="55"/>
  <c r="H109" i="55"/>
  <c r="H161" i="55"/>
  <c r="H67" i="83"/>
  <c r="H56" i="55"/>
  <c r="H113" i="55"/>
  <c r="H68" i="83"/>
  <c r="H57" i="55"/>
  <c r="H114" i="55"/>
  <c r="H166" i="55"/>
  <c r="H69" i="83"/>
  <c r="H58" i="55"/>
  <c r="H115" i="55"/>
  <c r="H70" i="83"/>
  <c r="H59" i="55"/>
  <c r="H116" i="55"/>
  <c r="H168" i="55"/>
  <c r="B5" i="72"/>
  <c r="C33" i="72"/>
  <c r="D33" i="72"/>
  <c r="D34" i="72"/>
  <c r="N14" i="83"/>
  <c r="H74" i="83"/>
  <c r="H13" i="84"/>
  <c r="C75" i="83"/>
  <c r="D75" i="83"/>
  <c r="E75" i="83"/>
  <c r="F75" i="83"/>
  <c r="G75" i="83"/>
  <c r="H75" i="83"/>
  <c r="H14" i="84"/>
  <c r="C76" i="83"/>
  <c r="D76" i="83"/>
  <c r="E76" i="83"/>
  <c r="F76" i="83"/>
  <c r="G76" i="83"/>
  <c r="H76" i="83"/>
  <c r="H15" i="84"/>
  <c r="C77" i="83"/>
  <c r="D77" i="83"/>
  <c r="E77" i="83"/>
  <c r="F77" i="83"/>
  <c r="G77" i="83"/>
  <c r="H77" i="83"/>
  <c r="H16" i="84"/>
  <c r="C78" i="83"/>
  <c r="D78" i="83"/>
  <c r="E78" i="83"/>
  <c r="F78" i="83"/>
  <c r="G78" i="83"/>
  <c r="H78" i="83"/>
  <c r="H17" i="84"/>
  <c r="C79" i="83"/>
  <c r="D79" i="83"/>
  <c r="E79" i="83"/>
  <c r="F79" i="83"/>
  <c r="G79" i="83"/>
  <c r="H79" i="83"/>
  <c r="H18" i="84"/>
  <c r="C80" i="83"/>
  <c r="D80" i="83"/>
  <c r="E80" i="83"/>
  <c r="F80" i="83"/>
  <c r="G80" i="83"/>
  <c r="H80" i="83"/>
  <c r="H19" i="84"/>
  <c r="C81" i="83"/>
  <c r="D81" i="83"/>
  <c r="E81" i="83"/>
  <c r="F81" i="83"/>
  <c r="G81" i="83"/>
  <c r="H81" i="83"/>
  <c r="H20" i="84"/>
  <c r="C82" i="83"/>
  <c r="D82" i="83"/>
  <c r="E82" i="83"/>
  <c r="F82" i="83"/>
  <c r="G82" i="83"/>
  <c r="H82" i="83"/>
  <c r="H21" i="84"/>
  <c r="C83" i="83"/>
  <c r="D83" i="83"/>
  <c r="E83" i="83"/>
  <c r="F83" i="83"/>
  <c r="G83" i="83"/>
  <c r="H83" i="83"/>
  <c r="H22" i="84"/>
  <c r="C84" i="83"/>
  <c r="D84" i="83"/>
  <c r="E84" i="83"/>
  <c r="F84" i="83"/>
  <c r="G84" i="83"/>
  <c r="H84" i="83"/>
  <c r="H23" i="84"/>
  <c r="C85" i="83"/>
  <c r="D85" i="83"/>
  <c r="E85" i="83"/>
  <c r="F85" i="83"/>
  <c r="G85" i="83"/>
  <c r="H85" i="83"/>
  <c r="H24" i="84"/>
  <c r="C86" i="83"/>
  <c r="D86" i="83"/>
  <c r="E86" i="83"/>
  <c r="F86" i="83"/>
  <c r="G86" i="83"/>
  <c r="H86" i="83"/>
  <c r="H25" i="84"/>
  <c r="C87" i="83"/>
  <c r="D87" i="83"/>
  <c r="E87" i="83"/>
  <c r="F87" i="83"/>
  <c r="G87" i="83"/>
  <c r="H87" i="83"/>
  <c r="H26" i="84"/>
  <c r="C88" i="83"/>
  <c r="D88" i="83"/>
  <c r="E88" i="83"/>
  <c r="F88" i="83"/>
  <c r="G88" i="83"/>
  <c r="H88" i="83"/>
  <c r="H27" i="84"/>
  <c r="C89" i="83"/>
  <c r="D89" i="83"/>
  <c r="E89" i="83"/>
  <c r="F89" i="83"/>
  <c r="G89" i="83"/>
  <c r="H89" i="83"/>
  <c r="H28" i="84"/>
  <c r="C90" i="83"/>
  <c r="D90" i="83"/>
  <c r="E90" i="83"/>
  <c r="F90" i="83"/>
  <c r="G90" i="83"/>
  <c r="H90" i="83"/>
  <c r="H29" i="84"/>
  <c r="C91" i="83"/>
  <c r="D91" i="83"/>
  <c r="E91" i="83"/>
  <c r="F91" i="83"/>
  <c r="G91" i="83"/>
  <c r="H91" i="83"/>
  <c r="H30" i="84"/>
  <c r="C95" i="83"/>
  <c r="D95" i="83"/>
  <c r="E95" i="83"/>
  <c r="F95" i="83"/>
  <c r="G95" i="83"/>
  <c r="H95" i="83"/>
  <c r="H34" i="84"/>
  <c r="C96" i="83"/>
  <c r="D96" i="83"/>
  <c r="E96" i="83"/>
  <c r="F96" i="83"/>
  <c r="G96" i="83"/>
  <c r="H96" i="83"/>
  <c r="H35" i="84"/>
  <c r="C97" i="83"/>
  <c r="D97" i="83"/>
  <c r="E97" i="83"/>
  <c r="F97" i="83"/>
  <c r="G97" i="83"/>
  <c r="H97" i="83"/>
  <c r="H36" i="84"/>
  <c r="C98" i="83"/>
  <c r="D98" i="83"/>
  <c r="E98" i="83"/>
  <c r="F98" i="83"/>
  <c r="G98" i="83"/>
  <c r="H98" i="83"/>
  <c r="H37" i="84"/>
  <c r="H39" i="84"/>
  <c r="H12" i="84"/>
  <c r="M14" i="83"/>
  <c r="G74" i="83"/>
  <c r="G13" i="84"/>
  <c r="G14" i="84"/>
  <c r="G15" i="84"/>
  <c r="G16" i="84"/>
  <c r="G17" i="84"/>
  <c r="G18" i="84"/>
  <c r="G19" i="84"/>
  <c r="G20" i="84"/>
  <c r="G21" i="84"/>
  <c r="G22" i="84"/>
  <c r="G23" i="84"/>
  <c r="G24" i="84"/>
  <c r="G25" i="84"/>
  <c r="G26" i="84"/>
  <c r="G27" i="84"/>
  <c r="G28" i="84"/>
  <c r="G29" i="84"/>
  <c r="G30" i="84"/>
  <c r="C92" i="83"/>
  <c r="D92" i="83"/>
  <c r="E92" i="83"/>
  <c r="F92" i="83"/>
  <c r="G92" i="83"/>
  <c r="G31" i="84"/>
  <c r="C93" i="83"/>
  <c r="D93" i="83"/>
  <c r="E93" i="83"/>
  <c r="F93" i="83"/>
  <c r="G93" i="83"/>
  <c r="G32" i="84"/>
  <c r="C94" i="83"/>
  <c r="D94" i="83"/>
  <c r="E94" i="83"/>
  <c r="F94" i="83"/>
  <c r="G94" i="83"/>
  <c r="G33" i="84"/>
  <c r="G34" i="84"/>
  <c r="G35" i="84"/>
  <c r="G36" i="84"/>
  <c r="G37" i="84"/>
  <c r="G39" i="84"/>
  <c r="G12" i="84"/>
  <c r="G62" i="84"/>
  <c r="I163" i="84"/>
  <c r="I164" i="84"/>
  <c r="I165" i="84"/>
  <c r="I167" i="84"/>
  <c r="G124" i="84"/>
  <c r="G141" i="84"/>
  <c r="G125" i="84"/>
  <c r="G142" i="84"/>
  <c r="G126" i="84"/>
  <c r="G143" i="84"/>
  <c r="I168" i="84"/>
  <c r="I169" i="84"/>
  <c r="H62" i="84"/>
  <c r="J163" i="84"/>
  <c r="J164" i="84"/>
  <c r="J165" i="84"/>
  <c r="J167" i="84"/>
  <c r="H124" i="84"/>
  <c r="H141" i="84"/>
  <c r="H125" i="84"/>
  <c r="H142" i="84"/>
  <c r="H126" i="84"/>
  <c r="H143" i="84"/>
  <c r="J168" i="84"/>
  <c r="J169" i="84"/>
  <c r="C102" i="83"/>
  <c r="D102" i="83"/>
  <c r="E102" i="83"/>
  <c r="F102" i="83"/>
  <c r="G102" i="83"/>
  <c r="H102" i="83"/>
  <c r="I33" i="53"/>
  <c r="I86" i="53"/>
  <c r="C103" i="83"/>
  <c r="D103" i="83"/>
  <c r="E103" i="83"/>
  <c r="F103" i="83"/>
  <c r="G103" i="83"/>
  <c r="H103" i="83"/>
  <c r="I34" i="53"/>
  <c r="I87" i="53"/>
  <c r="C104" i="83"/>
  <c r="D104" i="83"/>
  <c r="E104" i="83"/>
  <c r="F104" i="83"/>
  <c r="G104" i="83"/>
  <c r="H104" i="83"/>
  <c r="I35" i="53"/>
  <c r="I88" i="53"/>
  <c r="C105" i="83"/>
  <c r="D105" i="83"/>
  <c r="E105" i="83"/>
  <c r="F105" i="83"/>
  <c r="G105" i="83"/>
  <c r="H105" i="83"/>
  <c r="I36" i="53"/>
  <c r="I89" i="53"/>
  <c r="C106" i="83"/>
  <c r="D106" i="83"/>
  <c r="E106" i="83"/>
  <c r="F106" i="83"/>
  <c r="G106" i="83"/>
  <c r="H106" i="83"/>
  <c r="I37" i="53"/>
  <c r="I90" i="53"/>
  <c r="C107" i="83"/>
  <c r="D107" i="83"/>
  <c r="E107" i="83"/>
  <c r="F107" i="83"/>
  <c r="G107" i="83"/>
  <c r="H107" i="83"/>
  <c r="I38" i="53"/>
  <c r="I91" i="53"/>
  <c r="C108" i="83"/>
  <c r="D108" i="83"/>
  <c r="E108" i="83"/>
  <c r="F108" i="83"/>
  <c r="G108" i="83"/>
  <c r="H108" i="83"/>
  <c r="I39" i="53"/>
  <c r="I92" i="53"/>
  <c r="C109" i="83"/>
  <c r="D109" i="83"/>
  <c r="E109" i="83"/>
  <c r="F109" i="83"/>
  <c r="G109" i="83"/>
  <c r="H109" i="83"/>
  <c r="I40" i="53"/>
  <c r="I93" i="53"/>
  <c r="C110" i="83"/>
  <c r="D110" i="83"/>
  <c r="E110" i="83"/>
  <c r="F110" i="83"/>
  <c r="G110" i="83"/>
  <c r="H110" i="83"/>
  <c r="I41" i="53"/>
  <c r="I94" i="53"/>
  <c r="C111" i="83"/>
  <c r="D111" i="83"/>
  <c r="E111" i="83"/>
  <c r="F111" i="83"/>
  <c r="G111" i="83"/>
  <c r="H111" i="83"/>
  <c r="I42" i="53"/>
  <c r="I95" i="53"/>
  <c r="C112" i="83"/>
  <c r="D112" i="83"/>
  <c r="E112" i="83"/>
  <c r="F112" i="83"/>
  <c r="G112" i="83"/>
  <c r="H112" i="83"/>
  <c r="I43" i="53"/>
  <c r="I96" i="53"/>
  <c r="C113" i="83"/>
  <c r="D113" i="83"/>
  <c r="E113" i="83"/>
  <c r="F113" i="83"/>
  <c r="G113" i="83"/>
  <c r="H113" i="83"/>
  <c r="I44" i="53"/>
  <c r="I97" i="53"/>
  <c r="C114" i="83"/>
  <c r="D114" i="83"/>
  <c r="E114" i="83"/>
  <c r="F114" i="83"/>
  <c r="G114" i="83"/>
  <c r="H114" i="83"/>
  <c r="I45" i="53"/>
  <c r="I98" i="53"/>
  <c r="C115" i="83"/>
  <c r="D115" i="83"/>
  <c r="E115" i="83"/>
  <c r="F115" i="83"/>
  <c r="G115" i="83"/>
  <c r="H115" i="83"/>
  <c r="I46" i="53"/>
  <c r="I99" i="53"/>
  <c r="C116" i="83"/>
  <c r="D116" i="83"/>
  <c r="E116" i="83"/>
  <c r="F116" i="83"/>
  <c r="G116" i="83"/>
  <c r="H116" i="83"/>
  <c r="I47" i="53"/>
  <c r="I100" i="53"/>
  <c r="C117" i="83"/>
  <c r="D117" i="83"/>
  <c r="E117" i="83"/>
  <c r="F117" i="83"/>
  <c r="G117" i="83"/>
  <c r="H117" i="83"/>
  <c r="I48" i="53"/>
  <c r="I101" i="53"/>
  <c r="C118" i="83"/>
  <c r="D118" i="83"/>
  <c r="E118" i="83"/>
  <c r="F118" i="83"/>
  <c r="G118" i="83"/>
  <c r="H118" i="83"/>
  <c r="I49" i="53"/>
  <c r="I102" i="53"/>
  <c r="C119" i="83"/>
  <c r="D119" i="83"/>
  <c r="E119" i="83"/>
  <c r="F119" i="83"/>
  <c r="G119" i="83"/>
  <c r="H119" i="83"/>
  <c r="I50" i="53"/>
  <c r="I103" i="53"/>
  <c r="C120" i="83"/>
  <c r="D120" i="83"/>
  <c r="E120" i="83"/>
  <c r="F120" i="83"/>
  <c r="G120" i="83"/>
  <c r="H120" i="83"/>
  <c r="I51" i="53"/>
  <c r="I104" i="53"/>
  <c r="C121" i="83"/>
  <c r="D121" i="83"/>
  <c r="E121" i="83"/>
  <c r="F121" i="83"/>
  <c r="G121" i="83"/>
  <c r="H121" i="83"/>
  <c r="I52" i="53"/>
  <c r="I105" i="53"/>
  <c r="C122" i="83"/>
  <c r="D122" i="83"/>
  <c r="E122" i="83"/>
  <c r="F122" i="83"/>
  <c r="G122" i="83"/>
  <c r="H122" i="83"/>
  <c r="I53" i="53"/>
  <c r="I106" i="53"/>
  <c r="C123" i="83"/>
  <c r="D123" i="83"/>
  <c r="E123" i="83"/>
  <c r="F123" i="83"/>
  <c r="G123" i="83"/>
  <c r="H123" i="83"/>
  <c r="I54" i="53"/>
  <c r="I107" i="53"/>
  <c r="C124" i="83"/>
  <c r="D124" i="83"/>
  <c r="E124" i="83"/>
  <c r="F124" i="83"/>
  <c r="G124" i="83"/>
  <c r="H124" i="83"/>
  <c r="I55" i="53"/>
  <c r="I108" i="53"/>
  <c r="C125" i="83"/>
  <c r="D125" i="83"/>
  <c r="E125" i="83"/>
  <c r="F125" i="83"/>
  <c r="G125" i="83"/>
  <c r="H125" i="83"/>
  <c r="I56" i="53"/>
  <c r="I109" i="53"/>
  <c r="C126" i="83"/>
  <c r="D126" i="83"/>
  <c r="E126" i="83"/>
  <c r="F126" i="83"/>
  <c r="G126" i="83"/>
  <c r="H126" i="83"/>
  <c r="I57" i="53"/>
  <c r="I110" i="53"/>
  <c r="H33" i="53"/>
  <c r="H86" i="53"/>
  <c r="H34" i="53"/>
  <c r="H87" i="53"/>
  <c r="H35" i="53"/>
  <c r="H88" i="53"/>
  <c r="H36" i="53"/>
  <c r="H89" i="53"/>
  <c r="H37" i="53"/>
  <c r="H90" i="53"/>
  <c r="H38" i="53"/>
  <c r="H91" i="53"/>
  <c r="H39" i="53"/>
  <c r="H92" i="53"/>
  <c r="H40" i="53"/>
  <c r="H93" i="53"/>
  <c r="H41" i="53"/>
  <c r="H94" i="53"/>
  <c r="H42" i="53"/>
  <c r="H95" i="53"/>
  <c r="H43" i="53"/>
  <c r="H96" i="53"/>
  <c r="H44" i="53"/>
  <c r="H97" i="53"/>
  <c r="H45" i="53"/>
  <c r="H98" i="53"/>
  <c r="H46" i="53"/>
  <c r="H99" i="53"/>
  <c r="H47" i="53"/>
  <c r="H100" i="53"/>
  <c r="H48" i="53"/>
  <c r="H101" i="53"/>
  <c r="H49" i="53"/>
  <c r="H102" i="53"/>
  <c r="H50" i="53"/>
  <c r="H103" i="53"/>
  <c r="H51" i="53"/>
  <c r="H104" i="53"/>
  <c r="H52" i="53"/>
  <c r="H105" i="53"/>
  <c r="H53" i="53"/>
  <c r="H106" i="53"/>
  <c r="H54" i="53"/>
  <c r="H107" i="53"/>
  <c r="H55" i="53"/>
  <c r="H108" i="53"/>
  <c r="H56" i="53"/>
  <c r="H109" i="53"/>
  <c r="H57" i="53"/>
  <c r="H110" i="53"/>
  <c r="I222" i="53"/>
  <c r="I223" i="53"/>
  <c r="I224" i="53"/>
  <c r="I225" i="53"/>
  <c r="I226" i="53"/>
  <c r="I227" i="53"/>
  <c r="I228" i="53"/>
  <c r="I229" i="53"/>
  <c r="I230" i="53"/>
  <c r="I231" i="53"/>
  <c r="I232" i="53"/>
  <c r="I233" i="53"/>
  <c r="I234" i="53"/>
  <c r="I235" i="53"/>
  <c r="I236" i="53"/>
  <c r="I237" i="53"/>
  <c r="I238" i="53"/>
  <c r="I239" i="53"/>
  <c r="I240" i="53"/>
  <c r="I241" i="53"/>
  <c r="I242" i="53"/>
  <c r="I243" i="53"/>
  <c r="J222" i="53"/>
  <c r="J223" i="53"/>
  <c r="J224" i="53"/>
  <c r="J225" i="53"/>
  <c r="J226" i="53"/>
  <c r="J227" i="53"/>
  <c r="J228" i="53"/>
  <c r="J229" i="53"/>
  <c r="J230" i="53"/>
  <c r="J231" i="53"/>
  <c r="J232" i="53"/>
  <c r="J233" i="53"/>
  <c r="J234" i="53"/>
  <c r="J235" i="53"/>
  <c r="J236" i="53"/>
  <c r="J237" i="53"/>
  <c r="J238" i="53"/>
  <c r="J239" i="53"/>
  <c r="J240" i="53"/>
  <c r="J241" i="53"/>
  <c r="J242" i="53"/>
  <c r="J243" i="53"/>
  <c r="J266" i="53"/>
  <c r="J267" i="53"/>
  <c r="J268" i="53"/>
  <c r="J269" i="53"/>
  <c r="J274" i="53"/>
  <c r="H32" i="21"/>
  <c r="J180" i="84"/>
  <c r="J181" i="84"/>
  <c r="J185" i="84"/>
  <c r="H33" i="21"/>
  <c r="H162" i="55"/>
  <c r="G162" i="55"/>
  <c r="H163" i="55"/>
  <c r="G163" i="55"/>
  <c r="H164" i="55"/>
  <c r="G164" i="55"/>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54" i="84"/>
  <c r="J155" i="84"/>
  <c r="J156" i="84"/>
  <c r="J159" i="84"/>
  <c r="H13" i="21"/>
  <c r="B34" i="72"/>
  <c r="K40" i="61"/>
  <c r="F35" i="55"/>
  <c r="F92" i="55"/>
  <c r="F144" i="55"/>
  <c r="F36" i="55"/>
  <c r="F93" i="55"/>
  <c r="F145" i="55"/>
  <c r="F37" i="55"/>
  <c r="F94" i="55"/>
  <c r="F38" i="55"/>
  <c r="F95" i="55"/>
  <c r="F147" i="55"/>
  <c r="F39" i="55"/>
  <c r="F96" i="55"/>
  <c r="F148" i="55"/>
  <c r="F40" i="55"/>
  <c r="F97" i="55"/>
  <c r="F149" i="55"/>
  <c r="F41" i="55"/>
  <c r="F98" i="55"/>
  <c r="F42" i="55"/>
  <c r="F99" i="55"/>
  <c r="F151" i="55"/>
  <c r="F43" i="55"/>
  <c r="F100" i="55"/>
  <c r="F152" i="55"/>
  <c r="F44" i="55"/>
  <c r="F101" i="55"/>
  <c r="F153" i="55"/>
  <c r="F45" i="55"/>
  <c r="F102" i="55"/>
  <c r="F46" i="55"/>
  <c r="F103" i="55"/>
  <c r="F47" i="55"/>
  <c r="F104" i="55"/>
  <c r="F156" i="55"/>
  <c r="F48" i="55"/>
  <c r="F105" i="55"/>
  <c r="F157" i="55"/>
  <c r="F49" i="55"/>
  <c r="F106" i="55"/>
  <c r="F158" i="55"/>
  <c r="F50" i="55"/>
  <c r="F107" i="55"/>
  <c r="F159" i="55"/>
  <c r="F51" i="55"/>
  <c r="F108" i="55"/>
  <c r="F52" i="55"/>
  <c r="F109" i="55"/>
  <c r="F161" i="55"/>
  <c r="F56" i="55"/>
  <c r="F113" i="55"/>
  <c r="F165" i="55"/>
  <c r="F57" i="55"/>
  <c r="F114" i="55"/>
  <c r="F58" i="55"/>
  <c r="F115" i="55"/>
  <c r="F59" i="55"/>
  <c r="F116" i="55"/>
  <c r="L14" i="83"/>
  <c r="F74" i="83"/>
  <c r="F13" i="84"/>
  <c r="F14" i="84"/>
  <c r="F15" i="84"/>
  <c r="F16" i="84"/>
  <c r="F17" i="84"/>
  <c r="F18" i="84"/>
  <c r="F19" i="84"/>
  <c r="F20" i="84"/>
  <c r="F21" i="84"/>
  <c r="F22" i="84"/>
  <c r="F23" i="84"/>
  <c r="F24" i="84"/>
  <c r="F25" i="84"/>
  <c r="F26" i="84"/>
  <c r="F27" i="84"/>
  <c r="F28" i="84"/>
  <c r="F29" i="84"/>
  <c r="F30" i="84"/>
  <c r="F31" i="84"/>
  <c r="F32" i="84"/>
  <c r="F33" i="84"/>
  <c r="F34" i="84"/>
  <c r="F35" i="84"/>
  <c r="F36" i="84"/>
  <c r="F37" i="84"/>
  <c r="F39" i="84"/>
  <c r="F12" i="84"/>
  <c r="F62" i="84"/>
  <c r="H163" i="84"/>
  <c r="H164" i="84"/>
  <c r="H165" i="84"/>
  <c r="H167" i="84"/>
  <c r="F124" i="84"/>
  <c r="F141" i="84"/>
  <c r="F125" i="84"/>
  <c r="F142" i="84"/>
  <c r="F126" i="84"/>
  <c r="F143" i="84"/>
  <c r="H168" i="84"/>
  <c r="H169" i="84"/>
  <c r="G33" i="53"/>
  <c r="G86" i="53"/>
  <c r="G34" i="53"/>
  <c r="G87" i="53"/>
  <c r="G35" i="53"/>
  <c r="G88" i="53"/>
  <c r="G36" i="53"/>
  <c r="G89" i="53"/>
  <c r="G37" i="53"/>
  <c r="G90" i="53"/>
  <c r="G38" i="53"/>
  <c r="G91" i="53"/>
  <c r="G39" i="53"/>
  <c r="G92" i="53"/>
  <c r="G40" i="53"/>
  <c r="G93" i="53"/>
  <c r="G41" i="53"/>
  <c r="G94" i="53"/>
  <c r="G42" i="53"/>
  <c r="G95" i="53"/>
  <c r="G43" i="53"/>
  <c r="G96" i="53"/>
  <c r="G44" i="53"/>
  <c r="G97" i="53"/>
  <c r="G45" i="53"/>
  <c r="G98" i="53"/>
  <c r="G46" i="53"/>
  <c r="G99" i="53"/>
  <c r="G47" i="53"/>
  <c r="G100" i="53"/>
  <c r="G48" i="53"/>
  <c r="G101" i="53"/>
  <c r="G49" i="53"/>
  <c r="G102" i="53"/>
  <c r="G50" i="53"/>
  <c r="G103" i="53"/>
  <c r="G51" i="53"/>
  <c r="G104" i="53"/>
  <c r="G52" i="53"/>
  <c r="G105" i="53"/>
  <c r="G53" i="53"/>
  <c r="G106" i="53"/>
  <c r="G54" i="53"/>
  <c r="G107" i="53"/>
  <c r="G55" i="53"/>
  <c r="G108" i="53"/>
  <c r="G56" i="53"/>
  <c r="G109" i="53"/>
  <c r="G57" i="53"/>
  <c r="G110" i="53"/>
  <c r="H222" i="53"/>
  <c r="H223" i="53"/>
  <c r="H224" i="53"/>
  <c r="H225" i="53"/>
  <c r="H226" i="53"/>
  <c r="H227" i="53"/>
  <c r="H228" i="53"/>
  <c r="H229" i="53"/>
  <c r="H230" i="53"/>
  <c r="H231" i="53"/>
  <c r="H232" i="53"/>
  <c r="H233" i="53"/>
  <c r="H234" i="53"/>
  <c r="H235" i="53"/>
  <c r="H236" i="53"/>
  <c r="H237" i="53"/>
  <c r="H238" i="53"/>
  <c r="H239" i="53"/>
  <c r="H240" i="53"/>
  <c r="H241" i="53"/>
  <c r="H242" i="53"/>
  <c r="H243" i="53"/>
  <c r="I266" i="53"/>
  <c r="I267" i="53"/>
  <c r="I268" i="53"/>
  <c r="I269" i="53"/>
  <c r="I274" i="53"/>
  <c r="G32" i="21"/>
  <c r="I180" i="84"/>
  <c r="I181" i="84"/>
  <c r="I185" i="84"/>
  <c r="G33" i="21"/>
  <c r="F162" i="55"/>
  <c r="F163" i="55"/>
  <c r="F164" i="55"/>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54" i="84"/>
  <c r="I155" i="84"/>
  <c r="I156" i="84"/>
  <c r="I159" i="84"/>
  <c r="G13" i="21"/>
  <c r="J40" i="61"/>
  <c r="E35" i="55"/>
  <c r="E92" i="55"/>
  <c r="E36" i="55"/>
  <c r="E93" i="55"/>
  <c r="E145" i="55"/>
  <c r="E37" i="55"/>
  <c r="E94" i="55"/>
  <c r="E146" i="55"/>
  <c r="E38" i="55"/>
  <c r="E95" i="55"/>
  <c r="E39" i="55"/>
  <c r="E96" i="55"/>
  <c r="E40" i="55"/>
  <c r="E97" i="55"/>
  <c r="E149" i="55"/>
  <c r="E41" i="55"/>
  <c r="E98" i="55"/>
  <c r="E150" i="55"/>
  <c r="E42" i="55"/>
  <c r="E99" i="55"/>
  <c r="E151" i="55"/>
  <c r="E43" i="55"/>
  <c r="E100" i="55"/>
  <c r="E44" i="55"/>
  <c r="E101" i="55"/>
  <c r="E153" i="55"/>
  <c r="E45" i="55"/>
  <c r="E102" i="55"/>
  <c r="E154" i="55"/>
  <c r="E46" i="55"/>
  <c r="E103" i="55"/>
  <c r="E155" i="55"/>
  <c r="E47" i="55"/>
  <c r="E104" i="55"/>
  <c r="E48" i="55"/>
  <c r="E105" i="55"/>
  <c r="E157" i="55"/>
  <c r="E49" i="55"/>
  <c r="E106" i="55"/>
  <c r="E50" i="55"/>
  <c r="E107" i="55"/>
  <c r="E159" i="55"/>
  <c r="E51" i="55"/>
  <c r="E108" i="55"/>
  <c r="E52" i="55"/>
  <c r="E109" i="55"/>
  <c r="E161" i="55"/>
  <c r="E56" i="55"/>
  <c r="E113" i="55"/>
  <c r="E165" i="55"/>
  <c r="E57" i="55"/>
  <c r="E114" i="55"/>
  <c r="E58" i="55"/>
  <c r="E115" i="55"/>
  <c r="E59" i="55"/>
  <c r="E116" i="55"/>
  <c r="E168" i="55"/>
  <c r="K14" i="83"/>
  <c r="E74" i="83"/>
  <c r="E13" i="84"/>
  <c r="E14" i="84"/>
  <c r="E15" i="84"/>
  <c r="E16" i="84"/>
  <c r="E17" i="84"/>
  <c r="E18" i="84"/>
  <c r="E19" i="84"/>
  <c r="E20" i="84"/>
  <c r="E21" i="84"/>
  <c r="E22" i="84"/>
  <c r="E23" i="84"/>
  <c r="E24" i="84"/>
  <c r="E25" i="84"/>
  <c r="E26" i="84"/>
  <c r="E27" i="84"/>
  <c r="E28" i="84"/>
  <c r="E29" i="84"/>
  <c r="E30" i="84"/>
  <c r="E31" i="84"/>
  <c r="E32" i="84"/>
  <c r="E33" i="84"/>
  <c r="E34" i="84"/>
  <c r="E35" i="84"/>
  <c r="E36" i="84"/>
  <c r="E37" i="84"/>
  <c r="E39" i="84"/>
  <c r="E12" i="84"/>
  <c r="E62" i="84"/>
  <c r="G163" i="84"/>
  <c r="G164" i="84"/>
  <c r="G165" i="84"/>
  <c r="G167" i="84"/>
  <c r="E124" i="84"/>
  <c r="E141" i="84"/>
  <c r="E125" i="84"/>
  <c r="E142" i="84"/>
  <c r="E126" i="84"/>
  <c r="E143" i="84"/>
  <c r="G168" i="84"/>
  <c r="G169" i="84"/>
  <c r="F33" i="53"/>
  <c r="F86" i="53"/>
  <c r="F34" i="53"/>
  <c r="F87" i="53"/>
  <c r="F35" i="53"/>
  <c r="F88" i="53"/>
  <c r="F36" i="53"/>
  <c r="F89" i="53"/>
  <c r="F37" i="53"/>
  <c r="F90" i="53"/>
  <c r="F38" i="53"/>
  <c r="F91" i="53"/>
  <c r="F39" i="53"/>
  <c r="F92" i="53"/>
  <c r="F40" i="53"/>
  <c r="F93" i="53"/>
  <c r="F41" i="53"/>
  <c r="F94" i="53"/>
  <c r="F42" i="53"/>
  <c r="F95" i="53"/>
  <c r="F43" i="53"/>
  <c r="F96" i="53"/>
  <c r="F44" i="53"/>
  <c r="F97" i="53"/>
  <c r="F45" i="53"/>
  <c r="F98" i="53"/>
  <c r="F46" i="53"/>
  <c r="F99" i="53"/>
  <c r="F47" i="53"/>
  <c r="F100" i="53"/>
  <c r="F48" i="53"/>
  <c r="F101" i="53"/>
  <c r="F49" i="53"/>
  <c r="F102" i="53"/>
  <c r="F50" i="53"/>
  <c r="F103" i="53"/>
  <c r="F51" i="53"/>
  <c r="F104" i="53"/>
  <c r="F52" i="53"/>
  <c r="F105" i="53"/>
  <c r="F53" i="53"/>
  <c r="F106" i="53"/>
  <c r="F54" i="53"/>
  <c r="F107" i="53"/>
  <c r="F55" i="53"/>
  <c r="F108" i="53"/>
  <c r="F56" i="53"/>
  <c r="F109" i="53"/>
  <c r="F57" i="53"/>
  <c r="F110" i="53"/>
  <c r="G222" i="53"/>
  <c r="G223" i="53"/>
  <c r="G224" i="53"/>
  <c r="G225" i="53"/>
  <c r="G226" i="53"/>
  <c r="G227" i="53"/>
  <c r="G228" i="53"/>
  <c r="G229" i="53"/>
  <c r="G230" i="53"/>
  <c r="G231" i="53"/>
  <c r="G232" i="53"/>
  <c r="G233" i="53"/>
  <c r="G234" i="53"/>
  <c r="G235" i="53"/>
  <c r="G236" i="53"/>
  <c r="G237" i="53"/>
  <c r="G238" i="53"/>
  <c r="G239" i="53"/>
  <c r="G240" i="53"/>
  <c r="G241" i="53"/>
  <c r="G242" i="53"/>
  <c r="G243" i="53"/>
  <c r="H266" i="53"/>
  <c r="H267" i="53"/>
  <c r="H268" i="53"/>
  <c r="H269" i="53"/>
  <c r="H274" i="53"/>
  <c r="F32" i="21"/>
  <c r="H180" i="84"/>
  <c r="H181" i="84"/>
  <c r="H185" i="84"/>
  <c r="F33" i="21"/>
  <c r="E162" i="55"/>
  <c r="E163" i="55"/>
  <c r="E164" i="55"/>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54" i="84"/>
  <c r="H155" i="84"/>
  <c r="H156" i="84"/>
  <c r="H159" i="84"/>
  <c r="F13" i="21"/>
  <c r="I40" i="61"/>
  <c r="D35" i="55"/>
  <c r="D92" i="55"/>
  <c r="D36" i="55"/>
  <c r="D93" i="55"/>
  <c r="D145" i="55"/>
  <c r="D37" i="55"/>
  <c r="D94" i="55"/>
  <c r="D38" i="55"/>
  <c r="D95" i="55"/>
  <c r="D147" i="55"/>
  <c r="D39" i="55"/>
  <c r="D96" i="55"/>
  <c r="D40" i="55"/>
  <c r="D97" i="55"/>
  <c r="D149" i="55"/>
  <c r="D41" i="55"/>
  <c r="D98" i="55"/>
  <c r="D42" i="55"/>
  <c r="D99" i="55"/>
  <c r="D151" i="55"/>
  <c r="D43" i="55"/>
  <c r="D100" i="55"/>
  <c r="D44" i="55"/>
  <c r="D101" i="55"/>
  <c r="D153" i="55"/>
  <c r="D45" i="55"/>
  <c r="D102" i="55"/>
  <c r="D46" i="55"/>
  <c r="D103" i="55"/>
  <c r="D155" i="55"/>
  <c r="D47" i="55"/>
  <c r="D104" i="55"/>
  <c r="D48" i="55"/>
  <c r="D105" i="55"/>
  <c r="D157" i="55"/>
  <c r="D49" i="55"/>
  <c r="D106" i="55"/>
  <c r="D50" i="55"/>
  <c r="D107" i="55"/>
  <c r="D159" i="55"/>
  <c r="D51" i="55"/>
  <c r="D108" i="55"/>
  <c r="D52" i="55"/>
  <c r="D109" i="55"/>
  <c r="D161" i="55"/>
  <c r="D56" i="55"/>
  <c r="D113" i="55"/>
  <c r="D57" i="55"/>
  <c r="D114" i="55"/>
  <c r="D166" i="55"/>
  <c r="D58" i="55"/>
  <c r="D115" i="55"/>
  <c r="D59" i="55"/>
  <c r="D116" i="55"/>
  <c r="D168" i="55"/>
  <c r="J14" i="83"/>
  <c r="D74" i="83"/>
  <c r="D13" i="84"/>
  <c r="D14" i="84"/>
  <c r="D15" i="84"/>
  <c r="D16" i="84"/>
  <c r="D17" i="84"/>
  <c r="D18" i="84"/>
  <c r="D19" i="84"/>
  <c r="D20" i="84"/>
  <c r="D21" i="84"/>
  <c r="D22" i="84"/>
  <c r="D23" i="84"/>
  <c r="D24" i="84"/>
  <c r="D25" i="84"/>
  <c r="D26" i="84"/>
  <c r="D27" i="84"/>
  <c r="D28" i="84"/>
  <c r="D29" i="84"/>
  <c r="D30" i="84"/>
  <c r="D31" i="84"/>
  <c r="D32" i="84"/>
  <c r="D33" i="84"/>
  <c r="D34" i="84"/>
  <c r="D35" i="84"/>
  <c r="D36" i="84"/>
  <c r="D37" i="84"/>
  <c r="D39" i="84"/>
  <c r="D12" i="84"/>
  <c r="D62" i="84"/>
  <c r="F163" i="84"/>
  <c r="F164" i="84"/>
  <c r="F165" i="84"/>
  <c r="F167" i="84"/>
  <c r="D124" i="84"/>
  <c r="D141" i="84"/>
  <c r="D125" i="84"/>
  <c r="D142" i="84"/>
  <c r="D126" i="84"/>
  <c r="D143" i="84"/>
  <c r="F168" i="84"/>
  <c r="F169" i="84"/>
  <c r="E33" i="53"/>
  <c r="E86" i="53"/>
  <c r="E34" i="53"/>
  <c r="E87" i="53"/>
  <c r="E35" i="53"/>
  <c r="E88" i="53"/>
  <c r="E36" i="53"/>
  <c r="E89" i="53"/>
  <c r="E37" i="53"/>
  <c r="E90" i="53"/>
  <c r="E38" i="53"/>
  <c r="E91" i="53"/>
  <c r="E39" i="53"/>
  <c r="E92" i="53"/>
  <c r="E40" i="53"/>
  <c r="E93" i="53"/>
  <c r="E41" i="53"/>
  <c r="E94" i="53"/>
  <c r="E42" i="53"/>
  <c r="E95" i="53"/>
  <c r="E43" i="53"/>
  <c r="E96" i="53"/>
  <c r="E44" i="53"/>
  <c r="E97" i="53"/>
  <c r="E45" i="53"/>
  <c r="E98" i="53"/>
  <c r="E46" i="53"/>
  <c r="E99" i="53"/>
  <c r="E47" i="53"/>
  <c r="E100" i="53"/>
  <c r="E48" i="53"/>
  <c r="E101" i="53"/>
  <c r="E49" i="53"/>
  <c r="E102" i="53"/>
  <c r="E50" i="53"/>
  <c r="E103" i="53"/>
  <c r="E51" i="53"/>
  <c r="E104" i="53"/>
  <c r="E52" i="53"/>
  <c r="E105" i="53"/>
  <c r="E53" i="53"/>
  <c r="E106" i="53"/>
  <c r="E54" i="53"/>
  <c r="E107" i="53"/>
  <c r="E55" i="53"/>
  <c r="E108" i="53"/>
  <c r="E56" i="53"/>
  <c r="E109" i="53"/>
  <c r="E57" i="53"/>
  <c r="E110" i="53"/>
  <c r="F222" i="53"/>
  <c r="F223" i="53"/>
  <c r="F224" i="53"/>
  <c r="F225" i="53"/>
  <c r="F226" i="53"/>
  <c r="F227" i="53"/>
  <c r="F228" i="53"/>
  <c r="F229" i="53"/>
  <c r="F230" i="53"/>
  <c r="F231" i="53"/>
  <c r="F232" i="53"/>
  <c r="F233" i="53"/>
  <c r="F234" i="53"/>
  <c r="F235" i="53"/>
  <c r="F236" i="53"/>
  <c r="F237" i="53"/>
  <c r="F238" i="53"/>
  <c r="F239" i="53"/>
  <c r="F240" i="53"/>
  <c r="F241" i="53"/>
  <c r="F242" i="53"/>
  <c r="F243" i="53"/>
  <c r="G266" i="53"/>
  <c r="G267" i="53"/>
  <c r="G268" i="53"/>
  <c r="G269" i="53"/>
  <c r="G274" i="53"/>
  <c r="E32" i="21"/>
  <c r="G180" i="84"/>
  <c r="G181" i="84"/>
  <c r="G185" i="84"/>
  <c r="E33" i="21"/>
  <c r="D162" i="55"/>
  <c r="D163" i="55"/>
  <c r="D164" i="55"/>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54" i="84"/>
  <c r="G155" i="84"/>
  <c r="G156" i="84"/>
  <c r="G159" i="84"/>
  <c r="E13" i="21"/>
  <c r="H40" i="61"/>
  <c r="C35" i="55"/>
  <c r="C92" i="55"/>
  <c r="C36" i="55"/>
  <c r="C93" i="55"/>
  <c r="C145" i="55"/>
  <c r="C37" i="55"/>
  <c r="C94" i="55"/>
  <c r="C146" i="55"/>
  <c r="C38" i="55"/>
  <c r="C95" i="55"/>
  <c r="C39" i="55"/>
  <c r="C96" i="55"/>
  <c r="C40" i="55"/>
  <c r="C97" i="55"/>
  <c r="C149" i="55"/>
  <c r="C41" i="55"/>
  <c r="C98" i="55"/>
  <c r="C150" i="55"/>
  <c r="C42" i="55"/>
  <c r="C99" i="55"/>
  <c r="C43" i="55"/>
  <c r="C100" i="55"/>
  <c r="C44" i="55"/>
  <c r="C101" i="55"/>
  <c r="C153" i="55"/>
  <c r="C45" i="55"/>
  <c r="C102" i="55"/>
  <c r="C154" i="55"/>
  <c r="C46" i="55"/>
  <c r="C103" i="55"/>
  <c r="C47" i="55"/>
  <c r="C104" i="55"/>
  <c r="C48" i="55"/>
  <c r="C105" i="55"/>
  <c r="C157" i="55"/>
  <c r="C49" i="55"/>
  <c r="C106" i="55"/>
  <c r="C158" i="55"/>
  <c r="C50" i="55"/>
  <c r="C107" i="55"/>
  <c r="C51" i="55"/>
  <c r="C108" i="55"/>
  <c r="C52" i="55"/>
  <c r="C109" i="55"/>
  <c r="C161" i="55"/>
  <c r="C56" i="55"/>
  <c r="C113" i="55"/>
  <c r="C57" i="55"/>
  <c r="C114" i="55"/>
  <c r="C58" i="55"/>
  <c r="C115" i="55"/>
  <c r="C59" i="55"/>
  <c r="C116" i="55"/>
  <c r="C168" i="55"/>
  <c r="C34" i="72"/>
  <c r="C14" i="84"/>
  <c r="C15" i="84"/>
  <c r="C16" i="84"/>
  <c r="C17" i="84"/>
  <c r="C18" i="84"/>
  <c r="C19" i="84"/>
  <c r="C20" i="84"/>
  <c r="C21" i="84"/>
  <c r="C22" i="84"/>
  <c r="C23" i="84"/>
  <c r="C24" i="84"/>
  <c r="C25" i="84"/>
  <c r="C26" i="84"/>
  <c r="C27" i="84"/>
  <c r="C28" i="84"/>
  <c r="C29" i="84"/>
  <c r="C30" i="84"/>
  <c r="C31" i="84"/>
  <c r="C32" i="84"/>
  <c r="C33" i="84"/>
  <c r="C34" i="84"/>
  <c r="C35" i="84"/>
  <c r="C36" i="84"/>
  <c r="C37" i="84"/>
  <c r="C39" i="84"/>
  <c r="C12" i="84"/>
  <c r="C62" i="84"/>
  <c r="E163" i="84"/>
  <c r="E164" i="84"/>
  <c r="E165" i="84"/>
  <c r="E167" i="84"/>
  <c r="C124" i="84"/>
  <c r="C141" i="84"/>
  <c r="C125" i="84"/>
  <c r="C142" i="84"/>
  <c r="C126" i="84"/>
  <c r="C143" i="84"/>
  <c r="E168" i="84"/>
  <c r="E169" i="84"/>
  <c r="D33" i="53"/>
  <c r="D86" i="53"/>
  <c r="D34" i="53"/>
  <c r="D87" i="53"/>
  <c r="D35" i="53"/>
  <c r="D88" i="53"/>
  <c r="D36" i="53"/>
  <c r="D89" i="53"/>
  <c r="D37" i="53"/>
  <c r="D90" i="53"/>
  <c r="D38" i="53"/>
  <c r="D91" i="53"/>
  <c r="D39" i="53"/>
  <c r="D92" i="53"/>
  <c r="D40" i="53"/>
  <c r="D93" i="53"/>
  <c r="D41" i="53"/>
  <c r="D94" i="53"/>
  <c r="D42" i="53"/>
  <c r="D95" i="53"/>
  <c r="D43" i="53"/>
  <c r="D96" i="53"/>
  <c r="D44" i="53"/>
  <c r="D97" i="53"/>
  <c r="D45" i="53"/>
  <c r="D98" i="53"/>
  <c r="D46" i="53"/>
  <c r="D99" i="53"/>
  <c r="D47" i="53"/>
  <c r="D100" i="53"/>
  <c r="D48" i="53"/>
  <c r="D101" i="53"/>
  <c r="D49" i="53"/>
  <c r="D102" i="53"/>
  <c r="D50" i="53"/>
  <c r="D103" i="53"/>
  <c r="D51" i="53"/>
  <c r="D104" i="53"/>
  <c r="D52" i="53"/>
  <c r="D105" i="53"/>
  <c r="D53" i="53"/>
  <c r="D106" i="53"/>
  <c r="D54" i="53"/>
  <c r="D107" i="53"/>
  <c r="D55" i="53"/>
  <c r="D108" i="53"/>
  <c r="D56" i="53"/>
  <c r="D109" i="53"/>
  <c r="D57" i="53"/>
  <c r="D110" i="53"/>
  <c r="E222" i="53"/>
  <c r="E223" i="53"/>
  <c r="E224" i="53"/>
  <c r="E225" i="53"/>
  <c r="E226" i="53"/>
  <c r="E227" i="53"/>
  <c r="E228" i="53"/>
  <c r="E229" i="53"/>
  <c r="E230" i="53"/>
  <c r="E231" i="53"/>
  <c r="E232" i="53"/>
  <c r="E233" i="53"/>
  <c r="E234" i="53"/>
  <c r="E235" i="53"/>
  <c r="E236" i="53"/>
  <c r="E237" i="53"/>
  <c r="E238" i="53"/>
  <c r="E239" i="53"/>
  <c r="E240" i="53"/>
  <c r="E241" i="53"/>
  <c r="E242" i="53"/>
  <c r="E243" i="53"/>
  <c r="F266" i="53"/>
  <c r="F267" i="53"/>
  <c r="F268" i="53"/>
  <c r="F269" i="53"/>
  <c r="F274" i="53"/>
  <c r="D32" i="21"/>
  <c r="F180" i="84"/>
  <c r="F181" i="84"/>
  <c r="F185" i="84"/>
  <c r="D33" i="21"/>
  <c r="C162" i="55"/>
  <c r="C163" i="55"/>
  <c r="C164" i="55"/>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54" i="84"/>
  <c r="F155" i="84"/>
  <c r="F156" i="84"/>
  <c r="F159" i="84"/>
  <c r="D13" i="21"/>
  <c r="G40" i="61"/>
  <c r="E266" i="53"/>
  <c r="E267" i="53"/>
  <c r="E268" i="53"/>
  <c r="E269" i="53"/>
  <c r="E274" i="53"/>
  <c r="C32" i="21"/>
  <c r="E180" i="84"/>
  <c r="E181" i="84"/>
  <c r="E185" i="84"/>
  <c r="C33" i="21"/>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54" i="84"/>
  <c r="E155" i="84"/>
  <c r="E156" i="84"/>
  <c r="E159" i="84"/>
  <c r="C13" i="21"/>
  <c r="F40" i="61"/>
  <c r="D266" i="53"/>
  <c r="D267" i="53"/>
  <c r="D268" i="53"/>
  <c r="D269" i="53"/>
  <c r="D274" i="53"/>
  <c r="B32" i="21"/>
  <c r="D180" i="84"/>
  <c r="D181" i="84"/>
  <c r="D185" i="84"/>
  <c r="B33" i="21"/>
  <c r="B13" i="21"/>
  <c r="B32" i="85"/>
  <c r="B33" i="85"/>
  <c r="B13" i="85"/>
  <c r="C32" i="85"/>
  <c r="C33" i="85"/>
  <c r="C13" i="85"/>
  <c r="D32" i="85"/>
  <c r="D33" i="85"/>
  <c r="D13" i="85"/>
  <c r="E32" i="85"/>
  <c r="E33" i="85"/>
  <c r="E13" i="85"/>
  <c r="F32" i="85"/>
  <c r="F33" i="85"/>
  <c r="F13" i="85"/>
  <c r="G32" i="85"/>
  <c r="G33" i="85"/>
  <c r="G13" i="85"/>
  <c r="H32" i="85"/>
  <c r="H33" i="85"/>
  <c r="H13" i="85"/>
  <c r="B198" i="85"/>
  <c r="C198" i="85"/>
  <c r="D198" i="85"/>
  <c r="E198" i="85"/>
  <c r="F198" i="85"/>
  <c r="G198" i="85"/>
  <c r="H198" i="85"/>
  <c r="K11" i="62"/>
  <c r="C10" i="62"/>
  <c r="K10" i="62"/>
  <c r="C9" i="62"/>
  <c r="K9" i="62"/>
  <c r="C8" i="62"/>
  <c r="K8" i="62"/>
  <c r="C7" i="62"/>
  <c r="K7" i="62"/>
  <c r="C6" i="62"/>
  <c r="K6" i="62"/>
  <c r="C5" i="62"/>
  <c r="K5" i="62"/>
  <c r="A259" i="85"/>
  <c r="A258" i="85"/>
  <c r="A257" i="85"/>
  <c r="A256" i="85"/>
  <c r="B226" i="85"/>
  <c r="C226" i="85"/>
  <c r="D226" i="85"/>
  <c r="E226" i="85"/>
  <c r="F226" i="85"/>
  <c r="G226" i="85"/>
  <c r="H226" i="85"/>
  <c r="A198" i="85"/>
  <c r="A197" i="85"/>
  <c r="A196" i="85"/>
  <c r="A195" i="85"/>
  <c r="A194" i="85"/>
  <c r="A193" i="85"/>
  <c r="A23" i="85"/>
  <c r="A33" i="85"/>
  <c r="A22" i="85"/>
  <c r="A32" i="85"/>
  <c r="A21" i="85"/>
  <c r="A31" i="85"/>
  <c r="A20" i="85"/>
  <c r="A30" i="85"/>
  <c r="A19" i="85"/>
  <c r="A29" i="85"/>
  <c r="A18" i="85"/>
  <c r="A28" i="85"/>
  <c r="B113" i="81"/>
  <c r="C30" i="53"/>
  <c r="C83" i="53"/>
  <c r="C31" i="53"/>
  <c r="C84" i="53"/>
  <c r="D220" i="53"/>
  <c r="D152" i="53"/>
  <c r="C65" i="81"/>
  <c r="C90" i="81"/>
  <c r="D31" i="53"/>
  <c r="D84" i="53"/>
  <c r="D90" i="81"/>
  <c r="E90" i="81"/>
  <c r="F90" i="81"/>
  <c r="G90" i="81"/>
  <c r="H90" i="81"/>
  <c r="E31" i="53"/>
  <c r="E84" i="53"/>
  <c r="F31" i="53"/>
  <c r="F84" i="53"/>
  <c r="G31" i="53"/>
  <c r="G84" i="53"/>
  <c r="H31" i="53"/>
  <c r="H84" i="53"/>
  <c r="I31" i="53"/>
  <c r="I84" i="53"/>
  <c r="E22" i="22"/>
  <c r="E21" i="22"/>
  <c r="E20" i="22"/>
  <c r="E19" i="22"/>
  <c r="E18" i="22"/>
  <c r="E17" i="22"/>
  <c r="B41" i="84"/>
  <c r="D206" i="53"/>
  <c r="D215" i="53"/>
  <c r="D244" i="53"/>
  <c r="C44" i="83"/>
  <c r="D44" i="83"/>
  <c r="E44" i="83"/>
  <c r="F44" i="83"/>
  <c r="G44" i="83"/>
  <c r="H44" i="83"/>
  <c r="C72" i="83"/>
  <c r="D72" i="83"/>
  <c r="E72" i="83"/>
  <c r="F72" i="83"/>
  <c r="G72" i="83"/>
  <c r="H72" i="83"/>
  <c r="E149" i="84"/>
  <c r="K12" i="83"/>
  <c r="H31" i="84"/>
  <c r="H32" i="84"/>
  <c r="H33" i="84"/>
  <c r="C74" i="83"/>
  <c r="C13" i="84"/>
  <c r="C44" i="84"/>
  <c r="F4" i="22"/>
  <c r="F22" i="22"/>
  <c r="E124" i="53"/>
  <c r="C100" i="83"/>
  <c r="D100" i="83"/>
  <c r="E100" i="83"/>
  <c r="F100" i="83"/>
  <c r="G100" i="83"/>
  <c r="H100" i="83"/>
  <c r="E17" i="42"/>
  <c r="A42" i="81"/>
  <c r="A67" i="83"/>
  <c r="A95" i="83"/>
  <c r="A34" i="84"/>
  <c r="A62" i="84"/>
  <c r="A123" i="84"/>
  <c r="A66" i="83"/>
  <c r="A94" i="83"/>
  <c r="A65" i="83"/>
  <c r="A93" i="83"/>
  <c r="A64" i="83"/>
  <c r="A92" i="83"/>
  <c r="C9" i="61"/>
  <c r="C17" i="61"/>
  <c r="V8" i="61"/>
  <c r="V9" i="61"/>
  <c r="V10" i="61"/>
  <c r="V12" i="61"/>
  <c r="V13" i="61"/>
  <c r="U13" i="61"/>
  <c r="U12" i="61"/>
  <c r="U10" i="61"/>
  <c r="U11" i="61"/>
  <c r="U9" i="61"/>
  <c r="O13" i="61"/>
  <c r="P13" i="61"/>
  <c r="Q13" i="61"/>
  <c r="R13" i="61"/>
  <c r="N13" i="61"/>
  <c r="O12" i="61"/>
  <c r="P12" i="61"/>
  <c r="Q12" i="61"/>
  <c r="R12" i="61"/>
  <c r="N12" i="61"/>
  <c r="N11" i="61"/>
  <c r="N10" i="61"/>
  <c r="O10" i="61"/>
  <c r="P10" i="61"/>
  <c r="Q10" i="61"/>
  <c r="R10" i="61"/>
  <c r="O9" i="61"/>
  <c r="P9" i="61"/>
  <c r="Q9" i="61"/>
  <c r="N9" i="61"/>
  <c r="R8" i="61"/>
  <c r="Q8" i="61"/>
  <c r="P8" i="61"/>
  <c r="O8" i="61"/>
  <c r="C15" i="61"/>
  <c r="C16" i="61"/>
  <c r="I173" i="29"/>
  <c r="H173" i="29"/>
  <c r="G173" i="29"/>
  <c r="F173" i="29"/>
  <c r="E173" i="29"/>
  <c r="D173" i="29"/>
  <c r="C173" i="29"/>
  <c r="B128" i="29"/>
  <c r="B143" i="29"/>
  <c r="B158" i="29"/>
  <c r="B173" i="29"/>
  <c r="B127" i="29"/>
  <c r="B142" i="29"/>
  <c r="B157" i="29"/>
  <c r="B172" i="29"/>
  <c r="I158" i="29"/>
  <c r="H158" i="29"/>
  <c r="G158" i="29"/>
  <c r="F158" i="29"/>
  <c r="E158" i="29"/>
  <c r="D158" i="29"/>
  <c r="C158" i="29"/>
  <c r="I143" i="29"/>
  <c r="H143" i="29"/>
  <c r="G143" i="29"/>
  <c r="F143" i="29"/>
  <c r="E143" i="29"/>
  <c r="D143" i="29"/>
  <c r="C143" i="29"/>
  <c r="I128" i="29"/>
  <c r="H128" i="29"/>
  <c r="G128" i="29"/>
  <c r="F128" i="29"/>
  <c r="E128" i="29"/>
  <c r="D128" i="29"/>
  <c r="C128" i="29"/>
  <c r="B126" i="29"/>
  <c r="B141" i="29"/>
  <c r="B156" i="29"/>
  <c r="B171" i="29"/>
  <c r="B125" i="29"/>
  <c r="B124" i="29"/>
  <c r="B123" i="29"/>
  <c r="B138" i="29"/>
  <c r="B153" i="29"/>
  <c r="B168" i="29"/>
  <c r="B122" i="29"/>
  <c r="B37" i="29"/>
  <c r="B36" i="29"/>
  <c r="B35" i="29"/>
  <c r="B34" i="29"/>
  <c r="B33" i="29"/>
  <c r="B32" i="29"/>
  <c r="C53" i="61"/>
  <c r="C52" i="61"/>
  <c r="C51" i="61"/>
  <c r="C50" i="61"/>
  <c r="C49" i="61"/>
  <c r="C48" i="61"/>
  <c r="A23" i="21"/>
  <c r="A33" i="21"/>
  <c r="A156" i="84"/>
  <c r="A155" i="84"/>
  <c r="A154" i="84"/>
  <c r="A55" i="55"/>
  <c r="A112" i="55"/>
  <c r="A164" i="55"/>
  <c r="A53" i="55"/>
  <c r="A110" i="55"/>
  <c r="A162" i="55"/>
  <c r="A56" i="55"/>
  <c r="A113" i="55"/>
  <c r="A165" i="55"/>
  <c r="A179" i="53"/>
  <c r="A244" i="53"/>
  <c r="A70" i="83"/>
  <c r="A69" i="83"/>
  <c r="A68" i="83"/>
  <c r="A96" i="83"/>
  <c r="A63" i="83"/>
  <c r="A91" i="83"/>
  <c r="A62" i="83"/>
  <c r="A90" i="83"/>
  <c r="A61" i="83"/>
  <c r="A89" i="83"/>
  <c r="A60" i="83"/>
  <c r="A59" i="83"/>
  <c r="A87" i="83"/>
  <c r="A58" i="83"/>
  <c r="A86" i="83"/>
  <c r="A57" i="83"/>
  <c r="A85" i="83"/>
  <c r="A113" i="83"/>
  <c r="A44" i="53"/>
  <c r="A56" i="83"/>
  <c r="A55" i="83"/>
  <c r="A83" i="83"/>
  <c r="A54" i="83"/>
  <c r="A82" i="83"/>
  <c r="A53" i="83"/>
  <c r="A81" i="83"/>
  <c r="A109" i="83"/>
  <c r="A40" i="53"/>
  <c r="A52" i="83"/>
  <c r="A51" i="83"/>
  <c r="A79" i="83"/>
  <c r="A50" i="83"/>
  <c r="A49" i="83"/>
  <c r="A38" i="55"/>
  <c r="A95" i="55"/>
  <c r="A147" i="55"/>
  <c r="A77" i="83"/>
  <c r="A105" i="83"/>
  <c r="A36" i="53"/>
  <c r="A48" i="83"/>
  <c r="A47" i="83"/>
  <c r="A75" i="83"/>
  <c r="A46" i="83"/>
  <c r="A35" i="55"/>
  <c r="A92" i="55"/>
  <c r="A144" i="55"/>
  <c r="A32" i="53"/>
  <c r="A31" i="53"/>
  <c r="A62" i="81"/>
  <c r="A61" i="81"/>
  <c r="A86" i="81"/>
  <c r="A111" i="81"/>
  <c r="A29" i="53"/>
  <c r="A150" i="53"/>
  <c r="A218" i="53"/>
  <c r="A60" i="81"/>
  <c r="A43" i="81"/>
  <c r="A68" i="81"/>
  <c r="A34" i="55"/>
  <c r="A91" i="55"/>
  <c r="A143" i="55"/>
  <c r="A40" i="55"/>
  <c r="A97" i="55"/>
  <c r="A149" i="55"/>
  <c r="A42" i="55"/>
  <c r="A99" i="55"/>
  <c r="A151" i="55"/>
  <c r="A44" i="55"/>
  <c r="A101" i="55"/>
  <c r="A153" i="55"/>
  <c r="A46" i="55"/>
  <c r="A103" i="55"/>
  <c r="A155" i="55"/>
  <c r="A50" i="55"/>
  <c r="A107" i="55"/>
  <c r="A159" i="55"/>
  <c r="A51" i="55"/>
  <c r="A108" i="55"/>
  <c r="A160" i="55"/>
  <c r="A30" i="55"/>
  <c r="A87" i="55"/>
  <c r="A139" i="55"/>
  <c r="A59" i="81"/>
  <c r="A28" i="55"/>
  <c r="A85" i="55"/>
  <c r="A137" i="55"/>
  <c r="A20" i="84"/>
  <c r="A51" i="84"/>
  <c r="A94" i="84"/>
  <c r="C40" i="84"/>
  <c r="D40" i="84"/>
  <c r="C41" i="84"/>
  <c r="G43" i="21"/>
  <c r="H61" i="29"/>
  <c r="H43" i="21"/>
  <c r="J97" i="29"/>
  <c r="H87" i="22"/>
  <c r="G43" i="85"/>
  <c r="I87" i="22"/>
  <c r="H43" i="85"/>
  <c r="A61" i="22"/>
  <c r="A62" i="22"/>
  <c r="A63" i="22"/>
  <c r="A64" i="22"/>
  <c r="B137" i="29"/>
  <c r="B152" i="29"/>
  <c r="B167" i="29"/>
  <c r="B139" i="29"/>
  <c r="B154" i="29"/>
  <c r="B169" i="29"/>
  <c r="B140" i="29"/>
  <c r="B155" i="29"/>
  <c r="B170" i="29"/>
  <c r="H34" i="57"/>
  <c r="C65" i="29"/>
  <c r="D65" i="29"/>
  <c r="E65" i="29"/>
  <c r="F65" i="29"/>
  <c r="G65" i="29"/>
  <c r="H65" i="29"/>
  <c r="I65" i="29"/>
  <c r="I12" i="29"/>
  <c r="V12" i="83"/>
  <c r="W12" i="83"/>
  <c r="X12" i="83"/>
  <c r="P12" i="83"/>
  <c r="Q12" i="83"/>
  <c r="R12" i="83"/>
  <c r="S12" i="83"/>
  <c r="T12" i="83"/>
  <c r="K12" i="81"/>
  <c r="A44" i="81"/>
  <c r="A69" i="81"/>
  <c r="F12" i="48"/>
  <c r="H12" i="48"/>
  <c r="F13" i="48"/>
  <c r="H13" i="48"/>
  <c r="F14" i="48"/>
  <c r="H14" i="48"/>
  <c r="F15" i="48"/>
  <c r="H15" i="48"/>
  <c r="C34" i="48"/>
  <c r="F16" i="48"/>
  <c r="H16" i="48"/>
  <c r="A152" i="53"/>
  <c r="A220" i="53"/>
  <c r="A84" i="81"/>
  <c r="A26" i="53"/>
  <c r="A58" i="81"/>
  <c r="A57" i="81"/>
  <c r="A82" i="81"/>
  <c r="A28" i="72"/>
  <c r="A52" i="72"/>
  <c r="A109" i="72"/>
  <c r="A107" i="81"/>
  <c r="A24" i="53"/>
  <c r="A145" i="53"/>
  <c r="A213" i="53"/>
  <c r="A56" i="81"/>
  <c r="A81" i="81"/>
  <c r="A55" i="81"/>
  <c r="A80" i="81"/>
  <c r="A54" i="81"/>
  <c r="A79" i="81"/>
  <c r="A53" i="81"/>
  <c r="A52" i="81"/>
  <c r="A51" i="81"/>
  <c r="A76" i="81"/>
  <c r="A138" i="53"/>
  <c r="A206" i="53"/>
  <c r="A49" i="81"/>
  <c r="A74" i="81"/>
  <c r="A48" i="81"/>
  <c r="A47" i="81"/>
  <c r="A72" i="81"/>
  <c r="A46" i="81"/>
  <c r="A45" i="81"/>
  <c r="A70" i="81"/>
  <c r="A129" i="53"/>
  <c r="A61" i="53"/>
  <c r="A84" i="53"/>
  <c r="A70" i="53"/>
  <c r="A50" i="81"/>
  <c r="A75" i="81"/>
  <c r="A121" i="72"/>
  <c r="A26" i="55"/>
  <c r="A83" i="55"/>
  <c r="A135" i="55"/>
  <c r="A25" i="55"/>
  <c r="A82" i="55"/>
  <c r="A134" i="55"/>
  <c r="A24" i="55"/>
  <c r="A81" i="55"/>
  <c r="A133" i="55"/>
  <c r="A23" i="55"/>
  <c r="A80" i="55"/>
  <c r="A132" i="55"/>
  <c r="A19" i="55"/>
  <c r="A76" i="55"/>
  <c r="A128" i="55"/>
  <c r="A18" i="55"/>
  <c r="A75" i="55"/>
  <c r="A127" i="55"/>
  <c r="A16" i="55"/>
  <c r="A73" i="55"/>
  <c r="A125" i="55"/>
  <c r="A14" i="55"/>
  <c r="A71" i="55"/>
  <c r="A123" i="55"/>
  <c r="A32" i="55"/>
  <c r="A89" i="55"/>
  <c r="A141" i="55"/>
  <c r="V12" i="81"/>
  <c r="W12" i="81"/>
  <c r="X12" i="81"/>
  <c r="P12" i="81"/>
  <c r="Q12" i="81"/>
  <c r="R12" i="81"/>
  <c r="S12" i="81"/>
  <c r="T12" i="81"/>
  <c r="A30" i="48"/>
  <c r="A29" i="48"/>
  <c r="A28" i="48"/>
  <c r="A27" i="48"/>
  <c r="B98" i="29"/>
  <c r="B97" i="29"/>
  <c r="B96" i="29"/>
  <c r="B95" i="29"/>
  <c r="A20" i="21"/>
  <c r="A30" i="21"/>
  <c r="A19" i="21"/>
  <c r="A29" i="21"/>
  <c r="A18" i="21"/>
  <c r="A28" i="21"/>
  <c r="A21" i="21"/>
  <c r="A31" i="21"/>
  <c r="A22" i="21"/>
  <c r="A32" i="21"/>
  <c r="B17" i="68"/>
  <c r="B16" i="68"/>
  <c r="A252" i="53"/>
  <c r="A251" i="53"/>
  <c r="A250" i="53"/>
  <c r="A248" i="53"/>
  <c r="A247" i="53"/>
  <c r="A246" i="53"/>
  <c r="A245" i="53"/>
  <c r="A195" i="53"/>
  <c r="A82" i="53"/>
  <c r="E244" i="53"/>
  <c r="A20" i="55"/>
  <c r="A77" i="55"/>
  <c r="A129" i="55"/>
  <c r="A80" i="83"/>
  <c r="A19" i="84"/>
  <c r="A50" i="84"/>
  <c r="A91" i="84"/>
  <c r="A41" i="55"/>
  <c r="A98" i="55"/>
  <c r="A150" i="55"/>
  <c r="A48" i="55"/>
  <c r="A105" i="55"/>
  <c r="A157" i="55"/>
  <c r="A43" i="55"/>
  <c r="A100" i="55"/>
  <c r="A152" i="55"/>
  <c r="A84" i="83"/>
  <c r="A45" i="55"/>
  <c r="A102" i="55"/>
  <c r="A154" i="55"/>
  <c r="A88" i="83"/>
  <c r="A116" i="83"/>
  <c r="A47" i="53"/>
  <c r="A49" i="55"/>
  <c r="A106" i="55"/>
  <c r="A158" i="55"/>
  <c r="A13" i="55"/>
  <c r="A70" i="55"/>
  <c r="A122" i="55"/>
  <c r="A52" i="55"/>
  <c r="A109" i="55"/>
  <c r="A161" i="55"/>
  <c r="A153" i="53"/>
  <c r="A221" i="53"/>
  <c r="A85" i="53"/>
  <c r="A76" i="83"/>
  <c r="A15" i="84"/>
  <c r="A46" i="84"/>
  <c r="A75" i="84"/>
  <c r="A37" i="55"/>
  <c r="A94" i="55"/>
  <c r="A146" i="55"/>
  <c r="A118" i="83"/>
  <c r="A49" i="53"/>
  <c r="A29" i="84"/>
  <c r="A60" i="84"/>
  <c r="A121" i="84"/>
  <c r="A97" i="83"/>
  <c r="A58" i="55"/>
  <c r="A115" i="55"/>
  <c r="A167" i="55"/>
  <c r="D65" i="81"/>
  <c r="E65" i="81"/>
  <c r="A77" i="53"/>
  <c r="I61" i="29"/>
  <c r="J12" i="29"/>
  <c r="A14" i="72"/>
  <c r="A38" i="72"/>
  <c r="A62" i="72"/>
  <c r="A93" i="81"/>
  <c r="A10" i="53"/>
  <c r="A157" i="53"/>
  <c r="A225" i="53"/>
  <c r="A89" i="53"/>
  <c r="A108" i="83"/>
  <c r="A39" i="53"/>
  <c r="A165" i="53"/>
  <c r="A233" i="53"/>
  <c r="A97" i="53"/>
  <c r="D151" i="53"/>
  <c r="D219" i="53"/>
  <c r="A12" i="55"/>
  <c r="A69" i="55"/>
  <c r="A121" i="55"/>
  <c r="A95" i="81"/>
  <c r="A12" i="53"/>
  <c r="A16" i="72"/>
  <c r="A40" i="72"/>
  <c r="A69" i="72"/>
  <c r="E40" i="84"/>
  <c r="D41" i="84"/>
  <c r="D44" i="84"/>
  <c r="A24" i="84"/>
  <c r="A55" i="84"/>
  <c r="A110" i="84"/>
  <c r="A85" i="81"/>
  <c r="A29" i="55"/>
  <c r="A86" i="55"/>
  <c r="A138" i="55"/>
  <c r="A107" i="83"/>
  <c r="A38" i="53"/>
  <c r="A18" i="84"/>
  <c r="A49" i="84"/>
  <c r="A87" i="84"/>
  <c r="A110" i="83"/>
  <c r="A41" i="53"/>
  <c r="A21" i="84"/>
  <c r="A52" i="84"/>
  <c r="A98" i="84"/>
  <c r="A115" i="83"/>
  <c r="A46" i="53"/>
  <c r="A26" i="84"/>
  <c r="A57" i="84"/>
  <c r="A118" i="84"/>
  <c r="A54" i="55"/>
  <c r="A111" i="55"/>
  <c r="A163" i="55"/>
  <c r="A123" i="83"/>
  <c r="A54" i="53"/>
  <c r="A107" i="53"/>
  <c r="A27" i="84"/>
  <c r="A58" i="84"/>
  <c r="A119" i="84"/>
  <c r="A104" i="83"/>
  <c r="A35" i="53"/>
  <c r="A23" i="84"/>
  <c r="A54" i="84"/>
  <c r="A106" i="84"/>
  <c r="A112" i="83"/>
  <c r="A43" i="53"/>
  <c r="A117" i="83"/>
  <c r="A48" i="53"/>
  <c r="A28" i="84"/>
  <c r="A59" i="84"/>
  <c r="A120" i="84"/>
  <c r="A124" i="83"/>
  <c r="A55" i="53"/>
  <c r="A35" i="84"/>
  <c r="A63" i="84"/>
  <c r="A127" i="84"/>
  <c r="A121" i="83"/>
  <c r="A52" i="53"/>
  <c r="A32" i="84"/>
  <c r="L12" i="83"/>
  <c r="A18" i="72"/>
  <c r="A42" i="72"/>
  <c r="A77" i="72"/>
  <c r="A97" i="81"/>
  <c r="A14" i="53"/>
  <c r="A104" i="81"/>
  <c r="A21" i="53"/>
  <c r="A25" i="72"/>
  <c r="A49" i="72"/>
  <c r="A100" i="72"/>
  <c r="A147" i="53"/>
  <c r="A215" i="53"/>
  <c r="A79" i="53"/>
  <c r="A99" i="81"/>
  <c r="A16" i="53"/>
  <c r="A69" i="53"/>
  <c r="A20" i="72"/>
  <c r="A44" i="72"/>
  <c r="A83" i="72"/>
  <c r="A22" i="72"/>
  <c r="A46" i="72"/>
  <c r="A91" i="72"/>
  <c r="A101" i="81"/>
  <c r="A18" i="53"/>
  <c r="A106" i="81"/>
  <c r="A23" i="53"/>
  <c r="A27" i="72"/>
  <c r="A51" i="72"/>
  <c r="A106" i="72"/>
  <c r="A16" i="84"/>
  <c r="A47" i="84"/>
  <c r="A79" i="84"/>
  <c r="A57" i="55"/>
  <c r="A114" i="55"/>
  <c r="A166" i="55"/>
  <c r="A87" i="81"/>
  <c r="A112" i="81"/>
  <c r="A30" i="53"/>
  <c r="A31" i="55"/>
  <c r="A88" i="55"/>
  <c r="A140" i="55"/>
  <c r="A103" i="83"/>
  <c r="A34" i="53"/>
  <c r="A14" i="84"/>
  <c r="A45" i="84"/>
  <c r="A71" i="84"/>
  <c r="A111" i="83"/>
  <c r="A42" i="53"/>
  <c r="A22" i="84"/>
  <c r="A53" i="84"/>
  <c r="A102" i="84"/>
  <c r="A119" i="83"/>
  <c r="A50" i="53"/>
  <c r="A30" i="84"/>
  <c r="A61" i="84"/>
  <c r="A122" i="84"/>
  <c r="A98" i="83"/>
  <c r="A59" i="55"/>
  <c r="A116" i="55"/>
  <c r="A168" i="55"/>
  <c r="F149" i="84"/>
  <c r="L12" i="81"/>
  <c r="F20" i="22"/>
  <c r="F19" i="22"/>
  <c r="B52" i="84"/>
  <c r="C113" i="81"/>
  <c r="E152" i="53"/>
  <c r="E220" i="53"/>
  <c r="A36" i="84"/>
  <c r="A64" i="84"/>
  <c r="A131" i="84"/>
  <c r="A125" i="83"/>
  <c r="A56" i="53"/>
  <c r="F65" i="81"/>
  <c r="G65" i="81"/>
  <c r="H65" i="81"/>
  <c r="D30" i="53"/>
  <c r="D83" i="53"/>
  <c r="D113" i="81"/>
  <c r="G149" i="84"/>
  <c r="A137" i="53"/>
  <c r="A205" i="53"/>
  <c r="A105" i="53"/>
  <c r="A173" i="53"/>
  <c r="A99" i="53"/>
  <c r="A167" i="53"/>
  <c r="A235" i="53"/>
  <c r="A91" i="53"/>
  <c r="A159" i="53"/>
  <c r="A227" i="53"/>
  <c r="A110" i="81"/>
  <c r="A28" i="53"/>
  <c r="A149" i="53"/>
  <c r="A217" i="53"/>
  <c r="A31" i="72"/>
  <c r="A55" i="72"/>
  <c r="A118" i="72"/>
  <c r="A160" i="53"/>
  <c r="A228" i="53"/>
  <c r="A92" i="53"/>
  <c r="A151" i="53"/>
  <c r="A219" i="53"/>
  <c r="A83" i="53"/>
  <c r="A139" i="53"/>
  <c r="A207" i="53"/>
  <c r="A71" i="53"/>
  <c r="A142" i="53"/>
  <c r="A210" i="53"/>
  <c r="A74" i="53"/>
  <c r="A169" i="53"/>
  <c r="A237" i="53"/>
  <c r="A101" i="53"/>
  <c r="A63" i="53"/>
  <c r="A131" i="53"/>
  <c r="A199" i="53"/>
  <c r="C52" i="84"/>
  <c r="A135" i="53"/>
  <c r="A203" i="53"/>
  <c r="A67" i="53"/>
  <c r="M12" i="83"/>
  <c r="A164" i="53"/>
  <c r="A232" i="53"/>
  <c r="A96" i="53"/>
  <c r="A162" i="53"/>
  <c r="A230" i="53"/>
  <c r="A94" i="53"/>
  <c r="A76" i="53"/>
  <c r="A144" i="53"/>
  <c r="A212" i="53"/>
  <c r="A126" i="83"/>
  <c r="A57" i="53"/>
  <c r="A178" i="53"/>
  <c r="A243" i="53"/>
  <c r="A37" i="84"/>
  <c r="A65" i="84"/>
  <c r="A135" i="84"/>
  <c r="A95" i="53"/>
  <c r="A163" i="53"/>
  <c r="A231" i="53"/>
  <c r="A87" i="53"/>
  <c r="A155" i="53"/>
  <c r="A223" i="53"/>
  <c r="A175" i="53"/>
  <c r="A240" i="53"/>
  <c r="F40" i="84"/>
  <c r="F41" i="84"/>
  <c r="E41" i="84"/>
  <c r="E44" i="84"/>
  <c r="A133" i="53"/>
  <c r="A201" i="53"/>
  <c r="A65" i="53"/>
  <c r="A109" i="53"/>
  <c r="A177" i="53"/>
  <c r="A242" i="53"/>
  <c r="D52" i="84"/>
  <c r="E219" i="53"/>
  <c r="E151" i="53"/>
  <c r="N12" i="83"/>
  <c r="B47" i="84"/>
  <c r="A110" i="53"/>
  <c r="B65" i="84"/>
  <c r="C65" i="84"/>
  <c r="A81" i="53"/>
  <c r="B64" i="83"/>
  <c r="C64" i="83"/>
  <c r="H149" i="84"/>
  <c r="I149" i="84"/>
  <c r="E30" i="53"/>
  <c r="E83" i="53"/>
  <c r="E113" i="81"/>
  <c r="B48" i="84"/>
  <c r="B66" i="83"/>
  <c r="C66" i="83"/>
  <c r="D66" i="83"/>
  <c r="E66" i="83"/>
  <c r="F66" i="83"/>
  <c r="G66" i="83"/>
  <c r="H66" i="83"/>
  <c r="F113" i="81"/>
  <c r="F30" i="53"/>
  <c r="F83" i="53"/>
  <c r="D64" i="83"/>
  <c r="E64" i="83"/>
  <c r="F64" i="83"/>
  <c r="G64" i="83"/>
  <c r="H64" i="83"/>
  <c r="B65" i="83"/>
  <c r="C65" i="83"/>
  <c r="D65" i="83"/>
  <c r="E65" i="83"/>
  <c r="F65" i="83"/>
  <c r="G65" i="83"/>
  <c r="H65" i="83"/>
  <c r="E52" i="84"/>
  <c r="C47" i="84"/>
  <c r="J149" i="84"/>
  <c r="G113" i="81"/>
  <c r="G30" i="53"/>
  <c r="G83" i="53"/>
  <c r="D65" i="84"/>
  <c r="C48" i="84"/>
  <c r="F52" i="84"/>
  <c r="E65" i="84"/>
  <c r="C61" i="84"/>
  <c r="D47" i="84"/>
  <c r="D48" i="84"/>
  <c r="B61" i="84"/>
  <c r="H30" i="53"/>
  <c r="H83" i="53"/>
  <c r="H113" i="81"/>
  <c r="I30" i="53"/>
  <c r="I83" i="53"/>
  <c r="E47" i="84"/>
  <c r="F65" i="84"/>
  <c r="E48" i="84"/>
  <c r="F48" i="84"/>
  <c r="D61" i="84"/>
  <c r="F47" i="84"/>
  <c r="G65" i="84"/>
  <c r="H65" i="84"/>
  <c r="E61" i="84"/>
  <c r="F61" i="84"/>
  <c r="G40" i="84"/>
  <c r="F44" i="84"/>
  <c r="A108" i="53"/>
  <c r="A176" i="53"/>
  <c r="A241" i="53"/>
  <c r="A78" i="81"/>
  <c r="A22" i="55"/>
  <c r="A79" i="55"/>
  <c r="A131" i="55"/>
  <c r="A170" i="53"/>
  <c r="A238" i="53"/>
  <c r="A102" i="53"/>
  <c r="A161" i="53"/>
  <c r="A229" i="53"/>
  <c r="A93" i="53"/>
  <c r="A114" i="83"/>
  <c r="A45" i="53"/>
  <c r="A25" i="84"/>
  <c r="A56" i="84"/>
  <c r="A114" i="84"/>
  <c r="P16" i="61"/>
  <c r="A120" i="83"/>
  <c r="A51" i="53"/>
  <c r="A31" i="84"/>
  <c r="A122" i="83"/>
  <c r="A53" i="53"/>
  <c r="A33" i="84"/>
  <c r="M12" i="81"/>
  <c r="A103" i="53"/>
  <c r="A171" i="53"/>
  <c r="A239" i="53"/>
  <c r="A88" i="53"/>
  <c r="A156" i="53"/>
  <c r="A224" i="53"/>
  <c r="A168" i="53"/>
  <c r="A236" i="53"/>
  <c r="A100" i="53"/>
  <c r="A15" i="72"/>
  <c r="A39" i="72"/>
  <c r="A65" i="72"/>
  <c r="A94" i="81"/>
  <c r="A11" i="53"/>
  <c r="A21" i="72"/>
  <c r="A45" i="72"/>
  <c r="A87" i="72"/>
  <c r="A100" i="81"/>
  <c r="A73" i="81"/>
  <c r="A17" i="55"/>
  <c r="A74" i="55"/>
  <c r="A126" i="55"/>
  <c r="A83" i="81"/>
  <c r="A27" i="55"/>
  <c r="A84" i="55"/>
  <c r="A136" i="55"/>
  <c r="A78" i="83"/>
  <c r="A39" i="55"/>
  <c r="A96" i="55"/>
  <c r="A148" i="55"/>
  <c r="A71" i="81"/>
  <c r="A15" i="55"/>
  <c r="A72" i="55"/>
  <c r="A124" i="55"/>
  <c r="A77" i="81"/>
  <c r="A21" i="55"/>
  <c r="A78" i="55"/>
  <c r="A130" i="55"/>
  <c r="A105" i="81"/>
  <c r="A22" i="53"/>
  <c r="A26" i="72"/>
  <c r="A50" i="72"/>
  <c r="A103" i="72"/>
  <c r="A109" i="81"/>
  <c r="A27" i="53"/>
  <c r="A30" i="72"/>
  <c r="A54" i="72"/>
  <c r="A115" i="72"/>
  <c r="A67" i="81"/>
  <c r="A11" i="55"/>
  <c r="A68" i="55"/>
  <c r="A120" i="55"/>
  <c r="F124" i="53"/>
  <c r="E206" i="53"/>
  <c r="E215" i="53"/>
  <c r="A36" i="55"/>
  <c r="A93" i="55"/>
  <c r="A145" i="55"/>
  <c r="A47" i="55"/>
  <c r="A104" i="55"/>
  <c r="A156" i="55"/>
  <c r="A74" i="83"/>
  <c r="A102" i="83"/>
  <c r="A33" i="53"/>
  <c r="A13" i="84"/>
  <c r="A44" i="84"/>
  <c r="A67" i="84"/>
  <c r="F220" i="53"/>
  <c r="F206" i="53"/>
  <c r="G124" i="53"/>
  <c r="F152" i="53"/>
  <c r="F244" i="53"/>
  <c r="F215" i="53"/>
  <c r="F219" i="53"/>
  <c r="F151" i="53"/>
  <c r="A96" i="81"/>
  <c r="A13" i="53"/>
  <c r="A17" i="72"/>
  <c r="A41" i="72"/>
  <c r="A72" i="72"/>
  <c r="A17" i="84"/>
  <c r="A48" i="84"/>
  <c r="A83" i="84"/>
  <c r="A106" i="83"/>
  <c r="A37" i="53"/>
  <c r="A98" i="81"/>
  <c r="A15" i="53"/>
  <c r="A19" i="72"/>
  <c r="A43" i="72"/>
  <c r="A80" i="72"/>
  <c r="A166" i="53"/>
  <c r="A234" i="53"/>
  <c r="A98" i="53"/>
  <c r="G41" i="84"/>
  <c r="H40" i="84"/>
  <c r="H41" i="84"/>
  <c r="G52" i="84"/>
  <c r="G61" i="84"/>
  <c r="H61" i="84"/>
  <c r="A92" i="81"/>
  <c r="A9" i="53"/>
  <c r="A13" i="72"/>
  <c r="A37" i="72"/>
  <c r="A58" i="72"/>
  <c r="A75" i="53"/>
  <c r="A143" i="53"/>
  <c r="A211" i="53"/>
  <c r="N12" i="81"/>
  <c r="A106" i="53"/>
  <c r="A174" i="53"/>
  <c r="A24" i="72"/>
  <c r="A48" i="72"/>
  <c r="A97" i="72"/>
  <c r="A103" i="81"/>
  <c r="A20" i="53"/>
  <c r="A29" i="72"/>
  <c r="A53" i="72"/>
  <c r="A112" i="72"/>
  <c r="A108" i="81"/>
  <c r="A25" i="53"/>
  <c r="A64" i="53"/>
  <c r="A132" i="53"/>
  <c r="A200" i="53"/>
  <c r="B46" i="84"/>
  <c r="A80" i="53"/>
  <c r="A148" i="53"/>
  <c r="A216" i="53"/>
  <c r="A102" i="81"/>
  <c r="A19" i="53"/>
  <c r="A23" i="72"/>
  <c r="A47" i="72"/>
  <c r="A94" i="72"/>
  <c r="A172" i="53"/>
  <c r="A104" i="53"/>
  <c r="H52" i="84"/>
  <c r="G47" i="84"/>
  <c r="G44" i="84"/>
  <c r="G48" i="84"/>
  <c r="A146" i="53"/>
  <c r="A214" i="53"/>
  <c r="A78" i="53"/>
  <c r="B44" i="84"/>
  <c r="A130" i="53"/>
  <c r="A198" i="53"/>
  <c r="A62" i="53"/>
  <c r="B45" i="84"/>
  <c r="C46" i="84"/>
  <c r="A73" i="53"/>
  <c r="A141" i="53"/>
  <c r="A209" i="53"/>
  <c r="A68" i="53"/>
  <c r="A136" i="53"/>
  <c r="A204" i="53"/>
  <c r="A66" i="53"/>
  <c r="A134" i="53"/>
  <c r="A202" i="53"/>
  <c r="A86" i="53"/>
  <c r="A154" i="53"/>
  <c r="A222" i="53"/>
  <c r="A72" i="53"/>
  <c r="A140" i="53"/>
  <c r="A208" i="53"/>
  <c r="H47" i="84"/>
  <c r="H44" i="84"/>
  <c r="H48" i="84"/>
  <c r="A158" i="53"/>
  <c r="A226" i="53"/>
  <c r="A90" i="53"/>
  <c r="G206" i="53"/>
  <c r="G215" i="53"/>
  <c r="G152" i="53"/>
  <c r="H124" i="53"/>
  <c r="G244" i="53"/>
  <c r="G220" i="53"/>
  <c r="G219" i="53"/>
  <c r="G151" i="53"/>
  <c r="B49" i="84"/>
  <c r="B51" i="84"/>
  <c r="B64" i="84"/>
  <c r="B50" i="84"/>
  <c r="I124" i="53"/>
  <c r="H215" i="53"/>
  <c r="H206" i="53"/>
  <c r="H152" i="53"/>
  <c r="H244" i="53"/>
  <c r="H220" i="53"/>
  <c r="H219" i="53"/>
  <c r="H151" i="53"/>
  <c r="B63" i="84"/>
  <c r="D46" i="84"/>
  <c r="E46" i="84"/>
  <c r="C63" i="84"/>
  <c r="B54" i="84"/>
  <c r="B58" i="84"/>
  <c r="I244" i="53"/>
  <c r="I206" i="53"/>
  <c r="I220" i="53"/>
  <c r="I152" i="53"/>
  <c r="I215" i="53"/>
  <c r="J124" i="53"/>
  <c r="I151" i="53"/>
  <c r="I219" i="53"/>
  <c r="C50" i="84"/>
  <c r="C64" i="84"/>
  <c r="B59" i="84"/>
  <c r="B56" i="84"/>
  <c r="B57" i="84"/>
  <c r="C51" i="84"/>
  <c r="C45" i="84"/>
  <c r="B60" i="84"/>
  <c r="B55" i="84"/>
  <c r="C49" i="84"/>
  <c r="C56" i="84"/>
  <c r="D45" i="84"/>
  <c r="D64" i="84"/>
  <c r="D63" i="84"/>
  <c r="D49" i="84"/>
  <c r="C55" i="84"/>
  <c r="C60" i="84"/>
  <c r="D51" i="84"/>
  <c r="C59" i="84"/>
  <c r="D50" i="84"/>
  <c r="C58" i="84"/>
  <c r="C57" i="84"/>
  <c r="C53" i="84"/>
  <c r="C54" i="84"/>
  <c r="F46" i="84"/>
  <c r="B53" i="84"/>
  <c r="J215" i="53"/>
  <c r="J220" i="53"/>
  <c r="J206" i="53"/>
  <c r="J244" i="53"/>
  <c r="J152" i="53"/>
  <c r="J151" i="53"/>
  <c r="J219" i="53"/>
  <c r="B42" i="84"/>
  <c r="G46" i="84"/>
  <c r="H46" i="84"/>
  <c r="D54" i="84"/>
  <c r="D57" i="84"/>
  <c r="D59" i="84"/>
  <c r="D60" i="84"/>
  <c r="E63" i="84"/>
  <c r="D53" i="84"/>
  <c r="D58" i="84"/>
  <c r="E50" i="84"/>
  <c r="C157" i="29"/>
  <c r="C142" i="29"/>
  <c r="C127" i="29"/>
  <c r="C37" i="29"/>
  <c r="C172" i="29"/>
  <c r="E45" i="84"/>
  <c r="E51" i="84"/>
  <c r="D55" i="84"/>
  <c r="E49" i="84"/>
  <c r="E64" i="84"/>
  <c r="D56" i="84"/>
  <c r="F63" i="84"/>
  <c r="E56" i="84"/>
  <c r="F64" i="84"/>
  <c r="E55" i="84"/>
  <c r="F50" i="84"/>
  <c r="F51" i="84"/>
  <c r="E53" i="84"/>
  <c r="D172" i="29"/>
  <c r="D37" i="29"/>
  <c r="D157" i="29"/>
  <c r="D142" i="29"/>
  <c r="D127" i="29"/>
  <c r="E59" i="84"/>
  <c r="E57" i="84"/>
  <c r="F49" i="84"/>
  <c r="C42" i="84"/>
  <c r="E58" i="84"/>
  <c r="E60" i="84"/>
  <c r="E54" i="84"/>
  <c r="F45" i="84"/>
  <c r="G45" i="84"/>
  <c r="G50" i="84"/>
  <c r="H50" i="84"/>
  <c r="F56" i="84"/>
  <c r="H63" i="84"/>
  <c r="G63" i="84"/>
  <c r="F60" i="84"/>
  <c r="G49" i="84"/>
  <c r="H49" i="84"/>
  <c r="E157" i="29"/>
  <c r="E172" i="29"/>
  <c r="E142" i="29"/>
  <c r="E127" i="29"/>
  <c r="E37" i="29"/>
  <c r="F54" i="84"/>
  <c r="F59" i="84"/>
  <c r="G51" i="84"/>
  <c r="H51" i="84"/>
  <c r="F55" i="84"/>
  <c r="G64" i="84"/>
  <c r="H64" i="84"/>
  <c r="F58" i="84"/>
  <c r="H45" i="84"/>
  <c r="F57" i="84"/>
  <c r="D42" i="84"/>
  <c r="G58" i="84"/>
  <c r="H58" i="84"/>
  <c r="G56" i="84"/>
  <c r="H56" i="84"/>
  <c r="H57" i="84"/>
  <c r="G57" i="84"/>
  <c r="F142" i="29"/>
  <c r="F127" i="29"/>
  <c r="F172" i="29"/>
  <c r="F37" i="29"/>
  <c r="F157" i="29"/>
  <c r="H55" i="84"/>
  <c r="G55" i="84"/>
  <c r="G59" i="84"/>
  <c r="H59" i="84"/>
  <c r="G54" i="84"/>
  <c r="H54" i="84"/>
  <c r="G53" i="84"/>
  <c r="E42" i="84"/>
  <c r="F53" i="84"/>
  <c r="H60" i="84"/>
  <c r="G60" i="84"/>
  <c r="F42" i="84"/>
  <c r="H53" i="84"/>
  <c r="G157" i="29"/>
  <c r="G142" i="29"/>
  <c r="G127" i="29"/>
  <c r="G37" i="29"/>
  <c r="G172" i="29"/>
  <c r="G42" i="84"/>
  <c r="H172" i="29"/>
  <c r="H37" i="29"/>
  <c r="H157" i="29"/>
  <c r="H142" i="29"/>
  <c r="H127" i="29"/>
  <c r="H42" i="84"/>
  <c r="I157" i="29"/>
  <c r="I172" i="29"/>
  <c r="I142" i="29"/>
  <c r="I127" i="29"/>
  <c r="I37" i="29"/>
  <c r="E27" i="42"/>
  <c r="E29" i="42"/>
  <c r="E28" i="42"/>
  <c r="F17" i="42"/>
  <c r="C30" i="85"/>
  <c r="C10" i="42"/>
  <c r="D10" i="42"/>
  <c r="B30" i="85"/>
  <c r="B10" i="21"/>
  <c r="B10" i="85"/>
  <c r="B195" i="85"/>
  <c r="D89" i="55"/>
  <c r="D141" i="55"/>
  <c r="C89" i="55"/>
  <c r="C141" i="55"/>
  <c r="H89" i="55"/>
  <c r="H141" i="55"/>
  <c r="L10" i="87"/>
  <c r="D159" i="72"/>
  <c r="F65" i="86"/>
  <c r="M12" i="87"/>
  <c r="M13" i="87"/>
  <c r="N12" i="87"/>
  <c r="N15" i="87"/>
  <c r="K25" i="87"/>
  <c r="F89" i="55"/>
  <c r="F141" i="55"/>
  <c r="G89" i="55"/>
  <c r="G141" i="55"/>
  <c r="B89" i="55"/>
  <c r="B141" i="55"/>
  <c r="E89" i="55"/>
  <c r="E141" i="55"/>
  <c r="O12" i="87"/>
  <c r="O13" i="87"/>
  <c r="O23" i="87"/>
  <c r="A139" i="72"/>
  <c r="A143" i="72"/>
  <c r="A150" i="72"/>
  <c r="D154" i="72"/>
  <c r="A140" i="72"/>
  <c r="A144" i="72"/>
  <c r="A151" i="72"/>
  <c r="D155" i="72"/>
  <c r="B29" i="21"/>
  <c r="B29" i="85"/>
  <c r="E155" i="72"/>
  <c r="E154" i="72"/>
  <c r="F171" i="72"/>
  <c r="G133" i="72"/>
  <c r="F159" i="72"/>
  <c r="F153" i="72"/>
  <c r="F155" i="72"/>
  <c r="F170" i="72"/>
  <c r="Q16" i="61"/>
  <c r="R9" i="61"/>
  <c r="R16" i="61"/>
  <c r="E33" i="72"/>
  <c r="O16" i="61"/>
  <c r="E153" i="72"/>
  <c r="F154" i="72"/>
  <c r="E159" i="72"/>
  <c r="E171" i="72"/>
  <c r="E174" i="72"/>
  <c r="O11" i="61"/>
  <c r="P11" i="61"/>
  <c r="Q11" i="61"/>
  <c r="R11" i="61"/>
  <c r="B28" i="85"/>
  <c r="H61" i="55"/>
  <c r="G61" i="55"/>
  <c r="F61" i="55"/>
  <c r="B61" i="55"/>
  <c r="C166" i="55"/>
  <c r="C155" i="55"/>
  <c r="C159" i="55"/>
  <c r="D167" i="55"/>
  <c r="C165" i="55"/>
  <c r="C151" i="55"/>
  <c r="C147" i="55"/>
  <c r="E156" i="55"/>
  <c r="C167" i="55"/>
  <c r="C160" i="55"/>
  <c r="C156" i="55"/>
  <c r="C152" i="55"/>
  <c r="C148" i="55"/>
  <c r="C144" i="55"/>
  <c r="D160" i="55"/>
  <c r="D156" i="55"/>
  <c r="D152" i="55"/>
  <c r="D148" i="55"/>
  <c r="D144" i="55"/>
  <c r="E160" i="55"/>
  <c r="E144" i="55"/>
  <c r="F160" i="55"/>
  <c r="F155" i="55"/>
  <c r="F150" i="55"/>
  <c r="B155" i="55"/>
  <c r="B146" i="55"/>
  <c r="D61" i="55"/>
  <c r="C61" i="55"/>
  <c r="E167" i="55"/>
  <c r="E148" i="55"/>
  <c r="F167" i="55"/>
  <c r="E61" i="55"/>
  <c r="D165" i="55"/>
  <c r="D158" i="55"/>
  <c r="D154" i="55"/>
  <c r="D150" i="55"/>
  <c r="D146" i="55"/>
  <c r="E166" i="55"/>
  <c r="E158" i="55"/>
  <c r="E147" i="55"/>
  <c r="E152" i="55"/>
  <c r="F168" i="55"/>
  <c r="F166" i="55"/>
  <c r="F154" i="55"/>
  <c r="F146" i="55"/>
  <c r="B160" i="55"/>
  <c r="B165" i="55"/>
  <c r="H167" i="55"/>
  <c r="H165" i="55"/>
  <c r="H160" i="55"/>
  <c r="H158" i="55"/>
  <c r="H156" i="55"/>
  <c r="H154" i="55"/>
  <c r="H152" i="55"/>
  <c r="H150" i="55"/>
  <c r="H148" i="55"/>
  <c r="H146" i="55"/>
  <c r="H144" i="55"/>
  <c r="B144" i="55"/>
  <c r="B159" i="55"/>
  <c r="B150" i="55"/>
  <c r="B166" i="55"/>
  <c r="B156" i="55"/>
  <c r="B154" i="55"/>
  <c r="B147" i="55"/>
  <c r="B158" i="55"/>
  <c r="B151" i="55"/>
  <c r="D9" i="87"/>
  <c r="F8" i="87"/>
  <c r="E9" i="87"/>
  <c r="K53" i="61"/>
  <c r="G34" i="57"/>
  <c r="V11" i="61"/>
  <c r="V16" i="61"/>
  <c r="F18" i="61"/>
  <c r="H272" i="85"/>
  <c r="I258" i="85"/>
  <c r="H222" i="85"/>
  <c r="I173" i="85"/>
  <c r="H258" i="85"/>
  <c r="G272" i="85"/>
  <c r="G222" i="85"/>
  <c r="H173" i="85"/>
  <c r="F17" i="22"/>
  <c r="F21" i="22"/>
  <c r="I97" i="29"/>
  <c r="F18" i="22"/>
  <c r="G4" i="22"/>
  <c r="E52" i="48"/>
  <c r="B31" i="85"/>
  <c r="F52" i="48"/>
  <c r="G52" i="48"/>
  <c r="E68" i="86"/>
  <c r="F68" i="86"/>
  <c r="H53" i="61"/>
  <c r="H18" i="61"/>
  <c r="E70" i="86"/>
  <c r="F70" i="86"/>
  <c r="C33" i="48"/>
  <c r="E33" i="48"/>
  <c r="J14" i="48"/>
  <c r="J9" i="48"/>
  <c r="C28" i="48"/>
  <c r="J13" i="48"/>
  <c r="C32" i="48"/>
  <c r="E32" i="48"/>
  <c r="G29" i="48"/>
  <c r="F29" i="48"/>
  <c r="E29" i="48"/>
  <c r="G36" i="48"/>
  <c r="H22" i="48"/>
  <c r="J16" i="48"/>
  <c r="C35" i="48"/>
  <c r="C31" i="48"/>
  <c r="E31" i="48"/>
  <c r="J12" i="48"/>
  <c r="C27" i="48"/>
  <c r="F36" i="48"/>
  <c r="J10" i="48"/>
  <c r="F34" i="48"/>
  <c r="E34" i="48"/>
  <c r="G34" i="48"/>
  <c r="J15" i="48"/>
  <c r="C42" i="48"/>
  <c r="C30" i="48"/>
  <c r="J11" i="48"/>
  <c r="F21" i="42"/>
  <c r="F23" i="42"/>
  <c r="D10" i="21"/>
  <c r="F30" i="42"/>
  <c r="E21" i="42"/>
  <c r="E23" i="42"/>
  <c r="E30" i="42"/>
  <c r="E34" i="42"/>
  <c r="F27" i="42"/>
  <c r="F29" i="42"/>
  <c r="G17" i="42"/>
  <c r="F28" i="42"/>
  <c r="B70" i="81"/>
  <c r="K14" i="81"/>
  <c r="M14" i="81"/>
  <c r="J14" i="81"/>
  <c r="L14" i="81"/>
  <c r="N14" i="81"/>
  <c r="B100" i="81"/>
  <c r="C100" i="81"/>
  <c r="D100" i="81"/>
  <c r="E100" i="81"/>
  <c r="F100" i="81"/>
  <c r="G100" i="81"/>
  <c r="H100" i="81"/>
  <c r="B71" i="81"/>
  <c r="G39" i="61"/>
  <c r="B35" i="85"/>
  <c r="B36" i="85"/>
  <c r="D44" i="42"/>
  <c r="D46" i="42"/>
  <c r="D10" i="85"/>
  <c r="D195" i="85"/>
  <c r="F174" i="72"/>
  <c r="E10" i="42"/>
  <c r="B20" i="85"/>
  <c r="B20" i="21"/>
  <c r="C139" i="29"/>
  <c r="C124" i="29"/>
  <c r="C34" i="29"/>
  <c r="C154" i="29"/>
  <c r="C169" i="29"/>
  <c r="E154" i="29"/>
  <c r="E34" i="29"/>
  <c r="E139" i="29"/>
  <c r="E169" i="29"/>
  <c r="E124" i="29"/>
  <c r="C12" i="87"/>
  <c r="O25" i="87"/>
  <c r="N13" i="87"/>
  <c r="N18" i="87"/>
  <c r="L12" i="87"/>
  <c r="N20" i="87"/>
  <c r="N24" i="87"/>
  <c r="F144" i="72"/>
  <c r="F151" i="72"/>
  <c r="O15" i="87"/>
  <c r="O24" i="87"/>
  <c r="G144" i="72"/>
  <c r="E150" i="72"/>
  <c r="M23" i="87"/>
  <c r="E143" i="72"/>
  <c r="C19" i="68"/>
  <c r="E69" i="86"/>
  <c r="F69" i="86"/>
  <c r="F71" i="86"/>
  <c r="F64" i="86"/>
  <c r="F63" i="86"/>
  <c r="F53" i="61"/>
  <c r="L15" i="87"/>
  <c r="L24" i="87"/>
  <c r="D144" i="72"/>
  <c r="M15" i="87"/>
  <c r="G143" i="72"/>
  <c r="O18" i="87"/>
  <c r="P12" i="87"/>
  <c r="M18" i="87"/>
  <c r="M20" i="87"/>
  <c r="G154" i="72"/>
  <c r="C29" i="21"/>
  <c r="C29" i="85"/>
  <c r="D29" i="85"/>
  <c r="D29" i="21"/>
  <c r="F33" i="72"/>
  <c r="E34" i="72"/>
  <c r="G159" i="72"/>
  <c r="G153" i="72"/>
  <c r="G150" i="72"/>
  <c r="G155" i="72"/>
  <c r="H133" i="72"/>
  <c r="G170" i="72"/>
  <c r="G171" i="72"/>
  <c r="F9" i="87"/>
  <c r="G8" i="87"/>
  <c r="C35" i="85"/>
  <c r="G19" i="22"/>
  <c r="G22" i="22"/>
  <c r="G21" i="22"/>
  <c r="G17" i="22"/>
  <c r="H4" i="22"/>
  <c r="G20" i="22"/>
  <c r="G18" i="22"/>
  <c r="G32" i="48"/>
  <c r="B31" i="21"/>
  <c r="F32" i="48"/>
  <c r="I9" i="61"/>
  <c r="H174" i="84"/>
  <c r="G175" i="84"/>
  <c r="G18" i="61"/>
  <c r="G53" i="61"/>
  <c r="I53" i="61"/>
  <c r="C21" i="68"/>
  <c r="J53" i="61"/>
  <c r="E175" i="84"/>
  <c r="G9" i="61"/>
  <c r="F174" i="84"/>
  <c r="G31" i="48"/>
  <c r="D31" i="21"/>
  <c r="D31" i="85"/>
  <c r="H35" i="48"/>
  <c r="H52" i="48"/>
  <c r="I22" i="48"/>
  <c r="I33" i="48"/>
  <c r="H36" i="48"/>
  <c r="H29" i="48"/>
  <c r="F35" i="48"/>
  <c r="E27" i="48"/>
  <c r="G27" i="48"/>
  <c r="F27" i="48"/>
  <c r="H27" i="48"/>
  <c r="H28" i="48"/>
  <c r="E28" i="48"/>
  <c r="G28" i="48"/>
  <c r="F28" i="48"/>
  <c r="G35" i="48"/>
  <c r="H32" i="48"/>
  <c r="E35" i="48"/>
  <c r="H34" i="48"/>
  <c r="C31" i="85"/>
  <c r="C31" i="21"/>
  <c r="H31" i="48"/>
  <c r="F31" i="48"/>
  <c r="F33" i="48"/>
  <c r="H33" i="48"/>
  <c r="G33" i="48"/>
  <c r="C41" i="48"/>
  <c r="E42" i="48"/>
  <c r="H42" i="48"/>
  <c r="G42" i="48"/>
  <c r="F42" i="48"/>
  <c r="I42" i="48"/>
  <c r="E30" i="48"/>
  <c r="F30" i="48"/>
  <c r="G30" i="48"/>
  <c r="I30" i="48"/>
  <c r="H30" i="48"/>
  <c r="F52" i="61"/>
  <c r="E44" i="42"/>
  <c r="E46" i="42"/>
  <c r="C20" i="85"/>
  <c r="C20" i="21"/>
  <c r="C10" i="85"/>
  <c r="C195" i="85"/>
  <c r="C10" i="21"/>
  <c r="F39" i="61"/>
  <c r="D30" i="85"/>
  <c r="F34" i="42"/>
  <c r="G21" i="42"/>
  <c r="G23" i="42"/>
  <c r="G30" i="42"/>
  <c r="G27" i="42"/>
  <c r="G28" i="42"/>
  <c r="G29" i="42"/>
  <c r="H17" i="42"/>
  <c r="C13" i="87"/>
  <c r="C18" i="87"/>
  <c r="C14" i="87"/>
  <c r="B74" i="81"/>
  <c r="B73" i="81"/>
  <c r="B69" i="81"/>
  <c r="D12" i="53"/>
  <c r="D65" i="53"/>
  <c r="B86" i="81"/>
  <c r="C86" i="81"/>
  <c r="D86" i="81"/>
  <c r="E86" i="81"/>
  <c r="F86" i="81"/>
  <c r="G86" i="81"/>
  <c r="H86" i="81"/>
  <c r="B67" i="81"/>
  <c r="B72" i="81"/>
  <c r="D13" i="53"/>
  <c r="D66" i="53"/>
  <c r="C71" i="81"/>
  <c r="B17" i="72"/>
  <c r="B41" i="72"/>
  <c r="B109" i="81"/>
  <c r="C109" i="81"/>
  <c r="D109" i="81"/>
  <c r="E109" i="81"/>
  <c r="F109" i="81"/>
  <c r="G109" i="81"/>
  <c r="H109" i="81"/>
  <c r="B75" i="81"/>
  <c r="B16" i="72"/>
  <c r="B40" i="72"/>
  <c r="C70" i="81"/>
  <c r="F66" i="86"/>
  <c r="C16" i="68"/>
  <c r="C28" i="85"/>
  <c r="C36" i="85"/>
  <c r="N23" i="87"/>
  <c r="F143" i="72"/>
  <c r="F10" i="42"/>
  <c r="E10" i="85"/>
  <c r="E195" i="85"/>
  <c r="E10" i="21"/>
  <c r="H39" i="61"/>
  <c r="G139" i="72"/>
  <c r="C15" i="87"/>
  <c r="F140" i="72"/>
  <c r="D12" i="87"/>
  <c r="F150" i="72"/>
  <c r="M25" i="87"/>
  <c r="E12" i="87"/>
  <c r="E157" i="72"/>
  <c r="L13" i="87"/>
  <c r="L20" i="87"/>
  <c r="E140" i="72"/>
  <c r="D151" i="72"/>
  <c r="O20" i="87"/>
  <c r="G140" i="72"/>
  <c r="G151" i="72"/>
  <c r="E151" i="72"/>
  <c r="M24" i="87"/>
  <c r="E144" i="72"/>
  <c r="N25" i="87"/>
  <c r="P13" i="87"/>
  <c r="P23" i="87"/>
  <c r="P15" i="87"/>
  <c r="P24" i="87"/>
  <c r="R12" i="87"/>
  <c r="Q12" i="87"/>
  <c r="F139" i="72"/>
  <c r="G174" i="72"/>
  <c r="E29" i="85"/>
  <c r="H155" i="72"/>
  <c r="H170" i="72"/>
  <c r="H171" i="72"/>
  <c r="I133" i="72"/>
  <c r="H159" i="72"/>
  <c r="H153" i="72"/>
  <c r="H154" i="72"/>
  <c r="G33" i="72"/>
  <c r="F34" i="72"/>
  <c r="H8" i="87"/>
  <c r="G9" i="87"/>
  <c r="C63" i="22"/>
  <c r="C17" i="68"/>
  <c r="H22" i="22"/>
  <c r="I4" i="22"/>
  <c r="H19" i="22"/>
  <c r="H20" i="22"/>
  <c r="H18" i="22"/>
  <c r="H21" i="22"/>
  <c r="H17" i="22"/>
  <c r="D43" i="85"/>
  <c r="D43" i="21"/>
  <c r="H175" i="84"/>
  <c r="H177" i="84"/>
  <c r="F175" i="84"/>
  <c r="F177" i="84"/>
  <c r="H9" i="61"/>
  <c r="G174" i="84"/>
  <c r="G177" i="84"/>
  <c r="F9" i="61"/>
  <c r="E174" i="84"/>
  <c r="E177" i="84"/>
  <c r="D175" i="84"/>
  <c r="D177" i="84"/>
  <c r="F43" i="85"/>
  <c r="F43" i="21"/>
  <c r="C43" i="85"/>
  <c r="C43" i="21"/>
  <c r="C20" i="68"/>
  <c r="B43" i="85"/>
  <c r="B43" i="21"/>
  <c r="E43" i="21"/>
  <c r="E43" i="85"/>
  <c r="C18" i="68"/>
  <c r="I28" i="48"/>
  <c r="H37" i="48"/>
  <c r="H36" i="61"/>
  <c r="F37" i="48"/>
  <c r="C11" i="21"/>
  <c r="E37" i="48"/>
  <c r="B11" i="21"/>
  <c r="I36" i="48"/>
  <c r="J22" i="48"/>
  <c r="I52" i="48"/>
  <c r="I34" i="48"/>
  <c r="I32" i="48"/>
  <c r="I31" i="48"/>
  <c r="I29" i="48"/>
  <c r="G37" i="48"/>
  <c r="G36" i="61"/>
  <c r="I41" i="48"/>
  <c r="I47" i="48"/>
  <c r="F21" i="85"/>
  <c r="I27" i="48"/>
  <c r="E31" i="85"/>
  <c r="E31" i="21"/>
  <c r="I35" i="48"/>
  <c r="E41" i="48"/>
  <c r="E47" i="48"/>
  <c r="E53" i="48"/>
  <c r="G41" i="48"/>
  <c r="G47" i="48"/>
  <c r="F41" i="48"/>
  <c r="F47" i="48"/>
  <c r="C21" i="21"/>
  <c r="H41" i="48"/>
  <c r="H47" i="48"/>
  <c r="E21" i="21"/>
  <c r="E11" i="21"/>
  <c r="E30" i="85"/>
  <c r="F44" i="42"/>
  <c r="F46" i="42"/>
  <c r="D20" i="85"/>
  <c r="G52" i="61"/>
  <c r="D20" i="21"/>
  <c r="D169" i="29"/>
  <c r="D124" i="29"/>
  <c r="D139" i="29"/>
  <c r="D34" i="29"/>
  <c r="D154" i="29"/>
  <c r="H21" i="42"/>
  <c r="H23" i="42"/>
  <c r="I39" i="61"/>
  <c r="H30" i="42"/>
  <c r="H27" i="42"/>
  <c r="H29" i="42"/>
  <c r="H28" i="42"/>
  <c r="I17" i="42"/>
  <c r="G34" i="42"/>
  <c r="C161" i="29"/>
  <c r="E15" i="87"/>
  <c r="E13" i="87"/>
  <c r="E18" i="87"/>
  <c r="E14" i="87"/>
  <c r="E19" i="87"/>
  <c r="D14" i="87"/>
  <c r="D15" i="87"/>
  <c r="D20" i="87"/>
  <c r="D13" i="87"/>
  <c r="D18" i="87"/>
  <c r="C69" i="81"/>
  <c r="B15" i="72"/>
  <c r="B39" i="72"/>
  <c r="D16" i="53"/>
  <c r="D69" i="53"/>
  <c r="B20" i="72"/>
  <c r="B44" i="72"/>
  <c r="C74" i="81"/>
  <c r="C73" i="81"/>
  <c r="B19" i="72"/>
  <c r="B43" i="72"/>
  <c r="D15" i="53"/>
  <c r="D68" i="53"/>
  <c r="D11" i="53"/>
  <c r="D64" i="53"/>
  <c r="D70" i="81"/>
  <c r="C16" i="72"/>
  <c r="C40" i="72"/>
  <c r="D14" i="53"/>
  <c r="D67" i="53"/>
  <c r="E202" i="53"/>
  <c r="E134" i="53"/>
  <c r="E201" i="53"/>
  <c r="E133" i="53"/>
  <c r="B70" i="72"/>
  <c r="B71" i="72"/>
  <c r="B84" i="81"/>
  <c r="B14" i="72"/>
  <c r="B38" i="72"/>
  <c r="C68" i="81"/>
  <c r="D71" i="81"/>
  <c r="C17" i="72"/>
  <c r="C41" i="72"/>
  <c r="E13" i="53"/>
  <c r="E66" i="53"/>
  <c r="B81" i="81"/>
  <c r="C67" i="81"/>
  <c r="B13" i="72"/>
  <c r="B87" i="55"/>
  <c r="B139" i="55"/>
  <c r="B78" i="81"/>
  <c r="E12" i="53"/>
  <c r="E65" i="53"/>
  <c r="B79" i="81"/>
  <c r="C72" i="81"/>
  <c r="B18" i="72"/>
  <c r="B42" i="72"/>
  <c r="B83" i="81"/>
  <c r="B85" i="81"/>
  <c r="B82" i="81"/>
  <c r="D10" i="53"/>
  <c r="D63" i="53"/>
  <c r="B21" i="72"/>
  <c r="B45" i="72"/>
  <c r="C75" i="81"/>
  <c r="D9" i="53"/>
  <c r="D62" i="53"/>
  <c r="B87" i="81"/>
  <c r="C87" i="81"/>
  <c r="D87" i="81"/>
  <c r="E87" i="81"/>
  <c r="F87" i="81"/>
  <c r="G87" i="81"/>
  <c r="H87" i="81"/>
  <c r="B80" i="81"/>
  <c r="C39" i="22"/>
  <c r="D39" i="22"/>
  <c r="C19" i="87"/>
  <c r="C20" i="87"/>
  <c r="C146" i="29"/>
  <c r="C176" i="29"/>
  <c r="C131" i="29"/>
  <c r="C24" i="68"/>
  <c r="F158" i="72"/>
  <c r="F146" i="72"/>
  <c r="D9" i="21"/>
  <c r="F157" i="72"/>
  <c r="E29" i="21"/>
  <c r="F139" i="29"/>
  <c r="F169" i="29"/>
  <c r="F124" i="29"/>
  <c r="F154" i="29"/>
  <c r="F34" i="29"/>
  <c r="E20" i="87"/>
  <c r="D140" i="72"/>
  <c r="G17" i="61"/>
  <c r="H8" i="61"/>
  <c r="G164" i="72"/>
  <c r="D19" i="87"/>
  <c r="F12" i="87"/>
  <c r="E158" i="72"/>
  <c r="F17" i="61"/>
  <c r="G158" i="72"/>
  <c r="L23" i="87"/>
  <c r="D143" i="72"/>
  <c r="D150" i="72"/>
  <c r="L18" i="87"/>
  <c r="G157" i="72"/>
  <c r="H151" i="72"/>
  <c r="L25" i="87"/>
  <c r="P25" i="87"/>
  <c r="K63" i="22"/>
  <c r="C64" i="22"/>
  <c r="D61" i="22"/>
  <c r="D64" i="22"/>
  <c r="E61" i="22"/>
  <c r="D63" i="22"/>
  <c r="E63" i="22"/>
  <c r="F63" i="22"/>
  <c r="H143" i="72"/>
  <c r="P18" i="87"/>
  <c r="Q25" i="87"/>
  <c r="Q15" i="87"/>
  <c r="Q24" i="87"/>
  <c r="Q13" i="87"/>
  <c r="Q23" i="87"/>
  <c r="R15" i="87"/>
  <c r="R24" i="87"/>
  <c r="R13" i="87"/>
  <c r="R23" i="87"/>
  <c r="R25" i="87"/>
  <c r="H150" i="72"/>
  <c r="P20" i="87"/>
  <c r="H140" i="72"/>
  <c r="H144" i="72"/>
  <c r="H174" i="72"/>
  <c r="F29" i="21"/>
  <c r="E11" i="85"/>
  <c r="I170" i="72"/>
  <c r="I171" i="72"/>
  <c r="I159" i="72"/>
  <c r="I153" i="72"/>
  <c r="J133" i="72"/>
  <c r="I155" i="72"/>
  <c r="I154" i="72"/>
  <c r="G34" i="72"/>
  <c r="H33" i="72"/>
  <c r="D28" i="85"/>
  <c r="G51" i="61"/>
  <c r="I8" i="87"/>
  <c r="I9" i="87"/>
  <c r="H9" i="87"/>
  <c r="C45" i="22"/>
  <c r="K45" i="22"/>
  <c r="C9" i="68"/>
  <c r="D176" i="29"/>
  <c r="D24" i="68"/>
  <c r="D146" i="29"/>
  <c r="D131" i="29"/>
  <c r="D161" i="29"/>
  <c r="C46" i="22"/>
  <c r="D43" i="22"/>
  <c r="I18" i="22"/>
  <c r="I17" i="22"/>
  <c r="I22" i="22"/>
  <c r="I20" i="22"/>
  <c r="I21" i="22"/>
  <c r="I19" i="22"/>
  <c r="J4" i="22"/>
  <c r="D35" i="85"/>
  <c r="E49" i="61"/>
  <c r="D11" i="85"/>
  <c r="I53" i="48"/>
  <c r="E21" i="85"/>
  <c r="I49" i="61"/>
  <c r="F21" i="21"/>
  <c r="C21" i="85"/>
  <c r="H49" i="61"/>
  <c r="F36" i="61"/>
  <c r="C23" i="21"/>
  <c r="E186" i="84"/>
  <c r="E188" i="84"/>
  <c r="C23" i="85"/>
  <c r="E23" i="21"/>
  <c r="G186" i="84"/>
  <c r="G188" i="84"/>
  <c r="E23" i="85"/>
  <c r="G97" i="29"/>
  <c r="F61" i="29"/>
  <c r="G12" i="29"/>
  <c r="D258" i="85"/>
  <c r="C222" i="85"/>
  <c r="D173" i="85"/>
  <c r="C272" i="85"/>
  <c r="G61" i="29"/>
  <c r="H12" i="29"/>
  <c r="H97" i="29"/>
  <c r="D23" i="21"/>
  <c r="D23" i="85"/>
  <c r="F186" i="84"/>
  <c r="F188" i="84"/>
  <c r="C65" i="22"/>
  <c r="B13" i="69"/>
  <c r="D97" i="29"/>
  <c r="C61" i="29"/>
  <c r="D12" i="29"/>
  <c r="K39" i="22"/>
  <c r="H23" i="85"/>
  <c r="J186" i="84"/>
  <c r="J188" i="84"/>
  <c r="G258" i="85"/>
  <c r="F272" i="85"/>
  <c r="F222" i="85"/>
  <c r="G173" i="85"/>
  <c r="F23" i="21"/>
  <c r="F23" i="85"/>
  <c r="H186" i="84"/>
  <c r="H188" i="84"/>
  <c r="C258" i="85"/>
  <c r="B222" i="85"/>
  <c r="C173" i="85"/>
  <c r="B272" i="85"/>
  <c r="C57" i="22"/>
  <c r="B18" i="69"/>
  <c r="C18" i="69"/>
  <c r="D18" i="69"/>
  <c r="E18" i="69"/>
  <c r="F18" i="69"/>
  <c r="G18" i="69"/>
  <c r="H18" i="69"/>
  <c r="E61" i="29"/>
  <c r="F97" i="29"/>
  <c r="F12" i="29"/>
  <c r="F258" i="85"/>
  <c r="E222" i="85"/>
  <c r="F173" i="85"/>
  <c r="E272" i="85"/>
  <c r="D61" i="29"/>
  <c r="E97" i="29"/>
  <c r="E12" i="29"/>
  <c r="B23" i="21"/>
  <c r="D186" i="84"/>
  <c r="D188" i="84"/>
  <c r="B23" i="85"/>
  <c r="E258" i="85"/>
  <c r="D272" i="85"/>
  <c r="D222" i="85"/>
  <c r="E173" i="85"/>
  <c r="C11" i="85"/>
  <c r="F53" i="48"/>
  <c r="F55" i="48"/>
  <c r="D11" i="21"/>
  <c r="E155" i="29"/>
  <c r="E55" i="48"/>
  <c r="I37" i="48"/>
  <c r="I36" i="61"/>
  <c r="F49" i="61"/>
  <c r="B21" i="85"/>
  <c r="E36" i="61"/>
  <c r="G49" i="61"/>
  <c r="D21" i="21"/>
  <c r="D21" i="85"/>
  <c r="G53" i="48"/>
  <c r="G55" i="48"/>
  <c r="K22" i="48"/>
  <c r="J36" i="48"/>
  <c r="J52" i="48"/>
  <c r="J31" i="48"/>
  <c r="J34" i="48"/>
  <c r="J32" i="48"/>
  <c r="J29" i="48"/>
  <c r="J35" i="48"/>
  <c r="J28" i="48"/>
  <c r="J33" i="48"/>
  <c r="J27" i="48"/>
  <c r="J42" i="48"/>
  <c r="J30" i="48"/>
  <c r="B21" i="21"/>
  <c r="H53" i="48"/>
  <c r="H55" i="48"/>
  <c r="B11" i="85"/>
  <c r="J41" i="48"/>
  <c r="F31" i="21"/>
  <c r="F31" i="85"/>
  <c r="E196" i="85"/>
  <c r="D155" i="29"/>
  <c r="D35" i="29"/>
  <c r="D170" i="29"/>
  <c r="D140" i="29"/>
  <c r="D125" i="29"/>
  <c r="D196" i="85"/>
  <c r="F35" i="29"/>
  <c r="F140" i="29"/>
  <c r="F170" i="29"/>
  <c r="F125" i="29"/>
  <c r="F155" i="29"/>
  <c r="B196" i="85"/>
  <c r="E125" i="29"/>
  <c r="C35" i="29"/>
  <c r="C140" i="29"/>
  <c r="C170" i="29"/>
  <c r="C155" i="29"/>
  <c r="C125" i="29"/>
  <c r="F30" i="85"/>
  <c r="F10" i="85"/>
  <c r="F195" i="85"/>
  <c r="H52" i="61"/>
  <c r="E20" i="85"/>
  <c r="G44" i="42"/>
  <c r="G46" i="42"/>
  <c r="E20" i="21"/>
  <c r="F10" i="21"/>
  <c r="J17" i="42"/>
  <c r="H34" i="42"/>
  <c r="F13" i="87"/>
  <c r="F18" i="87"/>
  <c r="F14" i="87"/>
  <c r="F19" i="87"/>
  <c r="F15" i="87"/>
  <c r="F20" i="87"/>
  <c r="E136" i="53"/>
  <c r="E204" i="53"/>
  <c r="C20" i="72"/>
  <c r="C44" i="72"/>
  <c r="D74" i="81"/>
  <c r="E137" i="53"/>
  <c r="E205" i="53"/>
  <c r="E15" i="53"/>
  <c r="E68" i="53"/>
  <c r="E16" i="53"/>
  <c r="E69" i="53"/>
  <c r="E200" i="53"/>
  <c r="E132" i="53"/>
  <c r="E11" i="53"/>
  <c r="E64" i="53"/>
  <c r="D73" i="81"/>
  <c r="C19" i="72"/>
  <c r="C43" i="72"/>
  <c r="C15" i="72"/>
  <c r="C39" i="72"/>
  <c r="D69" i="81"/>
  <c r="D75" i="81"/>
  <c r="C21" i="72"/>
  <c r="C45" i="72"/>
  <c r="C82" i="81"/>
  <c r="B28" i="72"/>
  <c r="B52" i="72"/>
  <c r="B86" i="55"/>
  <c r="B138" i="55"/>
  <c r="B25" i="72"/>
  <c r="B49" i="72"/>
  <c r="C79" i="81"/>
  <c r="F12" i="53"/>
  <c r="F65" i="53"/>
  <c r="D67" i="81"/>
  <c r="C13" i="72"/>
  <c r="F202" i="53"/>
  <c r="F134" i="53"/>
  <c r="B63" i="72"/>
  <c r="B64" i="72"/>
  <c r="E70" i="81"/>
  <c r="D16" i="72"/>
  <c r="D40" i="72"/>
  <c r="D25" i="53"/>
  <c r="D78" i="53"/>
  <c r="B88" i="55"/>
  <c r="B140" i="55"/>
  <c r="D21" i="53"/>
  <c r="D74" i="53"/>
  <c r="B83" i="55"/>
  <c r="B135" i="55"/>
  <c r="B31" i="72"/>
  <c r="B55" i="72"/>
  <c r="C85" i="81"/>
  <c r="D22" i="53"/>
  <c r="D75" i="53"/>
  <c r="D27" i="53"/>
  <c r="D80" i="53"/>
  <c r="C78" i="81"/>
  <c r="B24" i="72"/>
  <c r="B48" i="72"/>
  <c r="C81" i="81"/>
  <c r="B27" i="72"/>
  <c r="B51" i="72"/>
  <c r="C84" i="81"/>
  <c r="B30" i="72"/>
  <c r="B54" i="72"/>
  <c r="D19" i="53"/>
  <c r="D72" i="53"/>
  <c r="D20" i="53"/>
  <c r="D73" i="53"/>
  <c r="E203" i="53"/>
  <c r="E135" i="53"/>
  <c r="C77" i="81"/>
  <c r="B23" i="72"/>
  <c r="B47" i="72"/>
  <c r="C80" i="81"/>
  <c r="B26" i="72"/>
  <c r="B50" i="72"/>
  <c r="E198" i="53"/>
  <c r="E130" i="53"/>
  <c r="E199" i="53"/>
  <c r="E131" i="53"/>
  <c r="B29" i="72"/>
  <c r="B53" i="72"/>
  <c r="C83" i="81"/>
  <c r="B79" i="72"/>
  <c r="B78" i="72"/>
  <c r="D29" i="53"/>
  <c r="D82" i="53"/>
  <c r="B79" i="55"/>
  <c r="B131" i="55"/>
  <c r="B82" i="55"/>
  <c r="B134" i="55"/>
  <c r="E71" i="81"/>
  <c r="D17" i="72"/>
  <c r="D41" i="72"/>
  <c r="B85" i="55"/>
  <c r="B137" i="55"/>
  <c r="E14" i="53"/>
  <c r="E67" i="53"/>
  <c r="B81" i="55"/>
  <c r="B133" i="55"/>
  <c r="E9" i="53"/>
  <c r="E62" i="53"/>
  <c r="E10" i="53"/>
  <c r="E63" i="53"/>
  <c r="B84" i="55"/>
  <c r="B136" i="55"/>
  <c r="D72" i="81"/>
  <c r="C18" i="72"/>
  <c r="C42" i="72"/>
  <c r="B80" i="55"/>
  <c r="B132" i="55"/>
  <c r="D24" i="53"/>
  <c r="D77" i="53"/>
  <c r="F133" i="53"/>
  <c r="F201" i="53"/>
  <c r="C87" i="55"/>
  <c r="C139" i="55"/>
  <c r="B37" i="72"/>
  <c r="F13" i="53"/>
  <c r="F66" i="53"/>
  <c r="D68" i="81"/>
  <c r="C14" i="72"/>
  <c r="C38" i="72"/>
  <c r="B22" i="72"/>
  <c r="B46" i="72"/>
  <c r="C76" i="81"/>
  <c r="D28" i="53"/>
  <c r="D81" i="53"/>
  <c r="D23" i="53"/>
  <c r="D76" i="53"/>
  <c r="D18" i="53"/>
  <c r="D71" i="53"/>
  <c r="C71" i="72"/>
  <c r="C70" i="72"/>
  <c r="I150" i="72"/>
  <c r="E39" i="22"/>
  <c r="F39" i="22"/>
  <c r="G39" i="22"/>
  <c r="H39" i="22"/>
  <c r="I39" i="22"/>
  <c r="C40" i="22"/>
  <c r="D37" i="22"/>
  <c r="D40" i="22"/>
  <c r="E37" i="22"/>
  <c r="E40" i="22"/>
  <c r="F37" i="22"/>
  <c r="F40" i="22"/>
  <c r="G37" i="22"/>
  <c r="G40" i="22"/>
  <c r="H37" i="22"/>
  <c r="H40" i="22"/>
  <c r="I37" i="22"/>
  <c r="I40" i="22"/>
  <c r="D46" i="22"/>
  <c r="E43" i="22"/>
  <c r="F51" i="61"/>
  <c r="F29" i="85"/>
  <c r="I174" i="72"/>
  <c r="G10" i="85"/>
  <c r="G195" i="85"/>
  <c r="J39" i="61"/>
  <c r="G154" i="29"/>
  <c r="G139" i="29"/>
  <c r="G169" i="29"/>
  <c r="G34" i="29"/>
  <c r="G124" i="29"/>
  <c r="G12" i="87"/>
  <c r="D157" i="72"/>
  <c r="D139" i="72"/>
  <c r="D158" i="72"/>
  <c r="E139" i="72"/>
  <c r="G63" i="22"/>
  <c r="H63" i="22"/>
  <c r="I63" i="22"/>
  <c r="E64" i="22"/>
  <c r="F61" i="22"/>
  <c r="F64" i="22"/>
  <c r="G61" i="22"/>
  <c r="G64" i="22"/>
  <c r="H61" i="22"/>
  <c r="H64" i="22"/>
  <c r="I61" i="22"/>
  <c r="I64" i="22"/>
  <c r="D45" i="22"/>
  <c r="I186" i="84"/>
  <c r="I188" i="84"/>
  <c r="G23" i="85"/>
  <c r="G38" i="61"/>
  <c r="D9" i="85"/>
  <c r="D194" i="85"/>
  <c r="F165" i="72"/>
  <c r="E138" i="29"/>
  <c r="E33" i="29"/>
  <c r="Q20" i="87"/>
  <c r="I140" i="72"/>
  <c r="I144" i="72"/>
  <c r="I151" i="72"/>
  <c r="R20" i="87"/>
  <c r="Q18" i="87"/>
  <c r="I143" i="72"/>
  <c r="H157" i="72"/>
  <c r="H158" i="72"/>
  <c r="H139" i="72"/>
  <c r="R18" i="87"/>
  <c r="G29" i="21"/>
  <c r="G29" i="85"/>
  <c r="G8" i="61"/>
  <c r="F164" i="72"/>
  <c r="E165" i="72"/>
  <c r="J171" i="72"/>
  <c r="J159" i="72"/>
  <c r="J153" i="72"/>
  <c r="J150" i="72"/>
  <c r="J155" i="72"/>
  <c r="J151" i="72"/>
  <c r="J170" i="72"/>
  <c r="J144" i="72"/>
  <c r="J143" i="72"/>
  <c r="J154" i="72"/>
  <c r="H34" i="72"/>
  <c r="E153" i="29"/>
  <c r="E168" i="29"/>
  <c r="E123" i="29"/>
  <c r="D36" i="85"/>
  <c r="F28" i="85"/>
  <c r="E28" i="85"/>
  <c r="G146" i="72"/>
  <c r="E46" i="22"/>
  <c r="F43" i="22"/>
  <c r="F46" i="22"/>
  <c r="G43" i="22"/>
  <c r="G46" i="22"/>
  <c r="H43" i="22"/>
  <c r="H46" i="22"/>
  <c r="I43" i="22"/>
  <c r="I46" i="22"/>
  <c r="E45" i="22"/>
  <c r="F45" i="22"/>
  <c r="G45" i="22"/>
  <c r="H45" i="22"/>
  <c r="I45" i="22"/>
  <c r="B34" i="69"/>
  <c r="C34" i="69"/>
  <c r="D34" i="69"/>
  <c r="E34" i="69"/>
  <c r="F34" i="69"/>
  <c r="G34" i="69"/>
  <c r="H34" i="69"/>
  <c r="C58" i="22"/>
  <c r="D55" i="22"/>
  <c r="D58" i="22"/>
  <c r="E55" i="22"/>
  <c r="E58" i="22"/>
  <c r="F55" i="22"/>
  <c r="F58" i="22"/>
  <c r="G55" i="22"/>
  <c r="G58" i="22"/>
  <c r="H55" i="22"/>
  <c r="H58" i="22"/>
  <c r="I55" i="22"/>
  <c r="I58" i="22"/>
  <c r="D57" i="22"/>
  <c r="E57" i="22"/>
  <c r="F57" i="22"/>
  <c r="G57" i="22"/>
  <c r="H57" i="22"/>
  <c r="I57" i="22"/>
  <c r="J20" i="22"/>
  <c r="J18" i="22"/>
  <c r="J19" i="22"/>
  <c r="J22" i="22"/>
  <c r="J21" i="22"/>
  <c r="K4" i="22"/>
  <c r="J17" i="22"/>
  <c r="E35" i="85"/>
  <c r="C196" i="85"/>
  <c r="E140" i="29"/>
  <c r="E170" i="29"/>
  <c r="L63" i="22"/>
  <c r="K57" i="22"/>
  <c r="C51" i="22"/>
  <c r="K65" i="22"/>
  <c r="C52" i="22"/>
  <c r="E35" i="29"/>
  <c r="F11" i="21"/>
  <c r="G140" i="29"/>
  <c r="I55" i="48"/>
  <c r="F11" i="85"/>
  <c r="K52" i="48"/>
  <c r="K36" i="48"/>
  <c r="K29" i="48"/>
  <c r="K32" i="48"/>
  <c r="K31" i="48"/>
  <c r="K34" i="48"/>
  <c r="K35" i="48"/>
  <c r="K30" i="48"/>
  <c r="K42" i="48"/>
  <c r="K27" i="48"/>
  <c r="K28" i="48"/>
  <c r="K33" i="48"/>
  <c r="K41" i="48"/>
  <c r="K47" i="48"/>
  <c r="J47" i="48"/>
  <c r="G31" i="21"/>
  <c r="G31" i="85"/>
  <c r="J37" i="48"/>
  <c r="I52" i="61"/>
  <c r="F20" i="85"/>
  <c r="F20" i="21"/>
  <c r="H44" i="42"/>
  <c r="H46" i="42"/>
  <c r="K39" i="61"/>
  <c r="G30" i="85"/>
  <c r="E176" i="29"/>
  <c r="G14" i="87"/>
  <c r="G19" i="87"/>
  <c r="G15" i="87"/>
  <c r="G20" i="87"/>
  <c r="G13" i="87"/>
  <c r="G18" i="87"/>
  <c r="E69" i="81"/>
  <c r="D15" i="72"/>
  <c r="D39" i="72"/>
  <c r="F132" i="53"/>
  <c r="F200" i="53"/>
  <c r="F15" i="53"/>
  <c r="F68" i="53"/>
  <c r="B32" i="72"/>
  <c r="B35" i="72"/>
  <c r="F11" i="53"/>
  <c r="F64" i="53"/>
  <c r="F204" i="53"/>
  <c r="F136" i="53"/>
  <c r="F137" i="53"/>
  <c r="F205" i="53"/>
  <c r="E74" i="81"/>
  <c r="D20" i="72"/>
  <c r="D44" i="72"/>
  <c r="E73" i="81"/>
  <c r="D19" i="72"/>
  <c r="D43" i="72"/>
  <c r="F16" i="53"/>
  <c r="F69" i="53"/>
  <c r="E23" i="53"/>
  <c r="E76" i="53"/>
  <c r="E217" i="53"/>
  <c r="E149" i="53"/>
  <c r="C64" i="72"/>
  <c r="C63" i="72"/>
  <c r="F199" i="53"/>
  <c r="F131" i="53"/>
  <c r="F9" i="53"/>
  <c r="F62" i="53"/>
  <c r="F135" i="53"/>
  <c r="F203" i="53"/>
  <c r="D119" i="53"/>
  <c r="D114" i="53"/>
  <c r="D80" i="81"/>
  <c r="C26" i="72"/>
  <c r="C50" i="72"/>
  <c r="D77" i="81"/>
  <c r="C23" i="72"/>
  <c r="C47" i="72"/>
  <c r="E19" i="53"/>
  <c r="E72" i="53"/>
  <c r="D84" i="81"/>
  <c r="C30" i="72"/>
  <c r="C54" i="72"/>
  <c r="E216" i="53"/>
  <c r="E148" i="53"/>
  <c r="E22" i="53"/>
  <c r="E75" i="53"/>
  <c r="C83" i="55"/>
  <c r="C135" i="55"/>
  <c r="C88" i="55"/>
  <c r="C140" i="55"/>
  <c r="D70" i="72"/>
  <c r="D71" i="72"/>
  <c r="G133" i="53"/>
  <c r="G201" i="53"/>
  <c r="D21" i="72"/>
  <c r="D45" i="72"/>
  <c r="E75" i="81"/>
  <c r="E144" i="53"/>
  <c r="E212" i="53"/>
  <c r="E28" i="53"/>
  <c r="E81" i="53"/>
  <c r="E68" i="81"/>
  <c r="D14" i="72"/>
  <c r="D38" i="72"/>
  <c r="C84" i="55"/>
  <c r="C136" i="55"/>
  <c r="F10" i="53"/>
  <c r="F63" i="53"/>
  <c r="F130" i="53"/>
  <c r="F198" i="53"/>
  <c r="F14" i="53"/>
  <c r="F67" i="53"/>
  <c r="F71" i="81"/>
  <c r="E17" i="72"/>
  <c r="E41" i="72"/>
  <c r="D118" i="53"/>
  <c r="D116" i="53"/>
  <c r="E141" i="53"/>
  <c r="E209" i="53"/>
  <c r="E211" i="53"/>
  <c r="E143" i="53"/>
  <c r="F70" i="81"/>
  <c r="E16" i="72"/>
  <c r="E40" i="72"/>
  <c r="D79" i="81"/>
  <c r="C25" i="72"/>
  <c r="C49" i="72"/>
  <c r="E207" i="53"/>
  <c r="E139" i="53"/>
  <c r="D76" i="81"/>
  <c r="C22" i="72"/>
  <c r="C46" i="72"/>
  <c r="G202" i="53"/>
  <c r="G134" i="53"/>
  <c r="D87" i="55"/>
  <c r="D139" i="55"/>
  <c r="E145" i="53"/>
  <c r="E213" i="53"/>
  <c r="C80" i="55"/>
  <c r="C132" i="55"/>
  <c r="C78" i="72"/>
  <c r="C79" i="72"/>
  <c r="C81" i="55"/>
  <c r="C133" i="55"/>
  <c r="C85" i="55"/>
  <c r="C137" i="55"/>
  <c r="E150" i="53"/>
  <c r="E218" i="53"/>
  <c r="D83" i="81"/>
  <c r="C29" i="72"/>
  <c r="C53" i="72"/>
  <c r="D115" i="53"/>
  <c r="E20" i="53"/>
  <c r="E73" i="53"/>
  <c r="D81" i="81"/>
  <c r="C27" i="72"/>
  <c r="C51" i="72"/>
  <c r="D78" i="81"/>
  <c r="C24" i="72"/>
  <c r="C48" i="72"/>
  <c r="D85" i="81"/>
  <c r="C31" i="72"/>
  <c r="C55" i="72"/>
  <c r="E142" i="53"/>
  <c r="E210" i="53"/>
  <c r="E146" i="53"/>
  <c r="E214" i="53"/>
  <c r="C37" i="72"/>
  <c r="D82" i="81"/>
  <c r="C28" i="72"/>
  <c r="C52" i="72"/>
  <c r="E18" i="53"/>
  <c r="E71" i="53"/>
  <c r="E24" i="53"/>
  <c r="E77" i="53"/>
  <c r="E72" i="81"/>
  <c r="D18" i="72"/>
  <c r="D42" i="72"/>
  <c r="C82" i="55"/>
  <c r="C134" i="55"/>
  <c r="C79" i="55"/>
  <c r="C131" i="55"/>
  <c r="E29" i="53"/>
  <c r="E82" i="53"/>
  <c r="B96" i="72"/>
  <c r="B95" i="72"/>
  <c r="E140" i="53"/>
  <c r="E208" i="53"/>
  <c r="E27" i="53"/>
  <c r="E80" i="53"/>
  <c r="E21" i="53"/>
  <c r="E74" i="53"/>
  <c r="E25" i="53"/>
  <c r="E78" i="53"/>
  <c r="E67" i="81"/>
  <c r="D13" i="72"/>
  <c r="C86" i="55"/>
  <c r="C138" i="55"/>
  <c r="J174" i="72"/>
  <c r="B8" i="21"/>
  <c r="C32" i="29"/>
  <c r="H154" i="29"/>
  <c r="H169" i="29"/>
  <c r="H34" i="29"/>
  <c r="H139" i="29"/>
  <c r="H124" i="29"/>
  <c r="I12" i="87"/>
  <c r="H12" i="87"/>
  <c r="D201" i="55"/>
  <c r="D203" i="55"/>
  <c r="D210" i="55"/>
  <c r="D146" i="72"/>
  <c r="J139" i="72"/>
  <c r="E146" i="72"/>
  <c r="F167" i="72"/>
  <c r="D19" i="21"/>
  <c r="E24" i="68"/>
  <c r="J158" i="72"/>
  <c r="J157" i="72"/>
  <c r="J140" i="72"/>
  <c r="I139" i="72"/>
  <c r="I158" i="72"/>
  <c r="I157" i="72"/>
  <c r="H29" i="21"/>
  <c r="H29" i="85"/>
  <c r="G155" i="29"/>
  <c r="E131" i="29"/>
  <c r="E161" i="29"/>
  <c r="E146" i="29"/>
  <c r="E36" i="85"/>
  <c r="H17" i="61"/>
  <c r="H51" i="61"/>
  <c r="E9" i="85"/>
  <c r="E194" i="85"/>
  <c r="H38" i="61"/>
  <c r="E9" i="21"/>
  <c r="H146" i="72"/>
  <c r="L39" i="22"/>
  <c r="F35" i="85"/>
  <c r="F36" i="85"/>
  <c r="K21" i="22"/>
  <c r="K19" i="22"/>
  <c r="K20" i="22"/>
  <c r="K18" i="22"/>
  <c r="K17" i="22"/>
  <c r="K22" i="22"/>
  <c r="G170" i="29"/>
  <c r="D42" i="21"/>
  <c r="D42" i="85"/>
  <c r="D14" i="69"/>
  <c r="K51" i="22"/>
  <c r="E42" i="21"/>
  <c r="E14" i="69"/>
  <c r="E42" i="85"/>
  <c r="D49" i="22"/>
  <c r="C68" i="22"/>
  <c r="C42" i="21"/>
  <c r="C14" i="69"/>
  <c r="C42" i="85"/>
  <c r="G42" i="21"/>
  <c r="G14" i="69"/>
  <c r="G42" i="85"/>
  <c r="H42" i="21"/>
  <c r="H42" i="85"/>
  <c r="H14" i="69"/>
  <c r="D51" i="22"/>
  <c r="C67" i="22"/>
  <c r="F42" i="21"/>
  <c r="F42" i="85"/>
  <c r="F14" i="69"/>
  <c r="L45" i="22"/>
  <c r="B42" i="85"/>
  <c r="B42" i="21"/>
  <c r="B14" i="69"/>
  <c r="B15" i="69"/>
  <c r="G125" i="29"/>
  <c r="G35" i="29"/>
  <c r="F196" i="85"/>
  <c r="H21" i="21"/>
  <c r="K49" i="61"/>
  <c r="K53" i="48"/>
  <c r="H21" i="85"/>
  <c r="J53" i="48"/>
  <c r="J55" i="48"/>
  <c r="G21" i="85"/>
  <c r="G21" i="21"/>
  <c r="J49" i="61"/>
  <c r="K37" i="48"/>
  <c r="H31" i="21"/>
  <c r="H31" i="85"/>
  <c r="J36" i="61"/>
  <c r="G11" i="21"/>
  <c r="G11" i="85"/>
  <c r="H10" i="85"/>
  <c r="H195" i="85"/>
  <c r="J52" i="61"/>
  <c r="G20" i="85"/>
  <c r="I44" i="42"/>
  <c r="I46" i="42"/>
  <c r="H30" i="85"/>
  <c r="F131" i="29"/>
  <c r="I15" i="87"/>
  <c r="I13" i="87"/>
  <c r="I18" i="87"/>
  <c r="I14" i="87"/>
  <c r="H15" i="87"/>
  <c r="H20" i="87"/>
  <c r="H13" i="87"/>
  <c r="H14" i="87"/>
  <c r="H19" i="87"/>
  <c r="B12" i="72"/>
  <c r="E114" i="53"/>
  <c r="F246" i="53"/>
  <c r="E254" i="53"/>
  <c r="E255" i="53"/>
  <c r="F73" i="81"/>
  <c r="E19" i="72"/>
  <c r="E43" i="72"/>
  <c r="E20" i="72"/>
  <c r="E44" i="72"/>
  <c r="F74" i="81"/>
  <c r="B25" i="69"/>
  <c r="C12" i="68"/>
  <c r="G200" i="53"/>
  <c r="G132" i="53"/>
  <c r="G136" i="53"/>
  <c r="G204" i="53"/>
  <c r="G205" i="53"/>
  <c r="G137" i="53"/>
  <c r="E15" i="72"/>
  <c r="E39" i="72"/>
  <c r="F69" i="81"/>
  <c r="F67" i="81"/>
  <c r="E13" i="72"/>
  <c r="F21" i="53"/>
  <c r="F74" i="53"/>
  <c r="F18" i="53"/>
  <c r="F71" i="53"/>
  <c r="E78" i="81"/>
  <c r="D24" i="72"/>
  <c r="D48" i="72"/>
  <c r="F20" i="53"/>
  <c r="F73" i="53"/>
  <c r="H133" i="53"/>
  <c r="E70" i="72"/>
  <c r="E71" i="72"/>
  <c r="G131" i="53"/>
  <c r="G199" i="53"/>
  <c r="D63" i="72"/>
  <c r="D64" i="72"/>
  <c r="E21" i="72"/>
  <c r="E45" i="72"/>
  <c r="F75" i="81"/>
  <c r="D88" i="55"/>
  <c r="D140" i="55"/>
  <c r="F143" i="53"/>
  <c r="F211" i="53"/>
  <c r="E84" i="81"/>
  <c r="D30" i="72"/>
  <c r="D54" i="72"/>
  <c r="C95" i="72"/>
  <c r="C96" i="72"/>
  <c r="E246" i="53"/>
  <c r="E182" i="53"/>
  <c r="F146" i="53"/>
  <c r="F214" i="53"/>
  <c r="F27" i="53"/>
  <c r="F80" i="53"/>
  <c r="F218" i="53"/>
  <c r="F150" i="53"/>
  <c r="D78" i="72"/>
  <c r="D79" i="72"/>
  <c r="F213" i="53"/>
  <c r="F145" i="53"/>
  <c r="E83" i="81"/>
  <c r="D29" i="72"/>
  <c r="D53" i="72"/>
  <c r="D85" i="55"/>
  <c r="D137" i="55"/>
  <c r="G70" i="81"/>
  <c r="F16" i="72"/>
  <c r="F40" i="72"/>
  <c r="G135" i="53"/>
  <c r="G203" i="53"/>
  <c r="E118" i="53"/>
  <c r="E116" i="53"/>
  <c r="F68" i="81"/>
  <c r="E14" i="72"/>
  <c r="E38" i="72"/>
  <c r="F208" i="53"/>
  <c r="F140" i="53"/>
  <c r="D23" i="72"/>
  <c r="D47" i="72"/>
  <c r="E77" i="81"/>
  <c r="E252" i="53"/>
  <c r="E188" i="53"/>
  <c r="D86" i="55"/>
  <c r="D138" i="55"/>
  <c r="F25" i="53"/>
  <c r="F78" i="53"/>
  <c r="F148" i="53"/>
  <c r="F216" i="53"/>
  <c r="F29" i="53"/>
  <c r="F82" i="53"/>
  <c r="D79" i="55"/>
  <c r="D131" i="55"/>
  <c r="E18" i="72"/>
  <c r="E42" i="72"/>
  <c r="F72" i="81"/>
  <c r="F24" i="53"/>
  <c r="F77" i="53"/>
  <c r="E82" i="81"/>
  <c r="D28" i="72"/>
  <c r="D52" i="72"/>
  <c r="E85" i="81"/>
  <c r="D31" i="72"/>
  <c r="D55" i="72"/>
  <c r="E81" i="81"/>
  <c r="D27" i="72"/>
  <c r="D51" i="72"/>
  <c r="E248" i="53"/>
  <c r="E184" i="53"/>
  <c r="G71" i="81"/>
  <c r="F17" i="72"/>
  <c r="F41" i="72"/>
  <c r="E115" i="53"/>
  <c r="F217" i="53"/>
  <c r="F149" i="53"/>
  <c r="D83" i="55"/>
  <c r="D135" i="55"/>
  <c r="F19" i="53"/>
  <c r="F72" i="53"/>
  <c r="G198" i="53"/>
  <c r="G130" i="53"/>
  <c r="F212" i="53"/>
  <c r="F144" i="53"/>
  <c r="D37" i="72"/>
  <c r="F142" i="53"/>
  <c r="F210" i="53"/>
  <c r="D82" i="55"/>
  <c r="D134" i="55"/>
  <c r="H134" i="53"/>
  <c r="F207" i="53"/>
  <c r="F139" i="53"/>
  <c r="C32" i="72"/>
  <c r="F209" i="53"/>
  <c r="F141" i="53"/>
  <c r="E247" i="53"/>
  <c r="E183" i="53"/>
  <c r="D81" i="55"/>
  <c r="D133" i="55"/>
  <c r="D80" i="55"/>
  <c r="D132" i="55"/>
  <c r="E87" i="55"/>
  <c r="E139" i="55"/>
  <c r="E76" i="81"/>
  <c r="D22" i="72"/>
  <c r="D46" i="72"/>
  <c r="E79" i="81"/>
  <c r="D25" i="72"/>
  <c r="D49" i="72"/>
  <c r="E251" i="53"/>
  <c r="E187" i="53"/>
  <c r="E119" i="53"/>
  <c r="D84" i="55"/>
  <c r="D136" i="55"/>
  <c r="F28" i="53"/>
  <c r="F81" i="53"/>
  <c r="F22" i="53"/>
  <c r="F75" i="53"/>
  <c r="E80" i="81"/>
  <c r="D26" i="72"/>
  <c r="D50" i="72"/>
  <c r="F23" i="53"/>
  <c r="F76" i="53"/>
  <c r="C137" i="29"/>
  <c r="C122" i="29"/>
  <c r="D213" i="55"/>
  <c r="C167" i="29"/>
  <c r="C152" i="29"/>
  <c r="B8" i="85"/>
  <c r="B193" i="85"/>
  <c r="F185" i="55"/>
  <c r="D8" i="85"/>
  <c r="D193" i="85"/>
  <c r="G185" i="55"/>
  <c r="H37" i="61"/>
  <c r="E185" i="55"/>
  <c r="F37" i="61"/>
  <c r="I19" i="87"/>
  <c r="I20" i="87"/>
  <c r="H18" i="87"/>
  <c r="F7" i="61"/>
  <c r="F38" i="61"/>
  <c r="C9" i="21"/>
  <c r="C9" i="85"/>
  <c r="C194" i="85"/>
  <c r="B9" i="21"/>
  <c r="E38" i="61"/>
  <c r="B9" i="85"/>
  <c r="D165" i="72"/>
  <c r="D167" i="72"/>
  <c r="F8" i="61"/>
  <c r="E164" i="72"/>
  <c r="E167" i="72"/>
  <c r="C19" i="85"/>
  <c r="F175" i="72"/>
  <c r="F177" i="72"/>
  <c r="D19" i="85"/>
  <c r="F161" i="29"/>
  <c r="B18" i="21"/>
  <c r="B18" i="85"/>
  <c r="J146" i="72"/>
  <c r="H9" i="21"/>
  <c r="F50" i="61"/>
  <c r="G50" i="61"/>
  <c r="F16" i="61"/>
  <c r="G16" i="61"/>
  <c r="H7" i="61"/>
  <c r="F176" i="29"/>
  <c r="F146" i="29"/>
  <c r="I8" i="61"/>
  <c r="H164" i="72"/>
  <c r="G165" i="72"/>
  <c r="G167" i="72"/>
  <c r="F24" i="68"/>
  <c r="G28" i="85"/>
  <c r="F9" i="21"/>
  <c r="I38" i="61"/>
  <c r="F9" i="85"/>
  <c r="F194" i="85"/>
  <c r="K51" i="61"/>
  <c r="I146" i="72"/>
  <c r="I51" i="61"/>
  <c r="F123" i="29"/>
  <c r="F153" i="29"/>
  <c r="F138" i="29"/>
  <c r="F33" i="29"/>
  <c r="F168" i="29"/>
  <c r="L57" i="22"/>
  <c r="M39" i="22"/>
  <c r="G35" i="85"/>
  <c r="H221" i="85"/>
  <c r="I172" i="85"/>
  <c r="H271" i="85"/>
  <c r="I257" i="85"/>
  <c r="H58" i="85"/>
  <c r="F96" i="22"/>
  <c r="H11" i="29"/>
  <c r="G60" i="29"/>
  <c r="H96" i="29"/>
  <c r="E51" i="22"/>
  <c r="D67" i="22"/>
  <c r="C271" i="85"/>
  <c r="C58" i="85"/>
  <c r="D257" i="85"/>
  <c r="C221" i="85"/>
  <c r="D172" i="85"/>
  <c r="C206" i="85"/>
  <c r="D65" i="22"/>
  <c r="C13" i="69"/>
  <c r="C15" i="69"/>
  <c r="D52" i="22"/>
  <c r="E96" i="22"/>
  <c r="F60" i="29"/>
  <c r="G96" i="29"/>
  <c r="G11" i="29"/>
  <c r="K67" i="22"/>
  <c r="B96" i="22"/>
  <c r="D96" i="29"/>
  <c r="C60" i="29"/>
  <c r="D11" i="29"/>
  <c r="B271" i="85"/>
  <c r="B58" i="85"/>
  <c r="B221" i="85"/>
  <c r="C172" i="85"/>
  <c r="C257" i="85"/>
  <c r="B206" i="85"/>
  <c r="I60" i="29"/>
  <c r="H96" i="22"/>
  <c r="J96" i="29"/>
  <c r="J11" i="29"/>
  <c r="C96" i="22"/>
  <c r="E96" i="29"/>
  <c r="E11" i="29"/>
  <c r="D60" i="29"/>
  <c r="B97" i="22"/>
  <c r="B59" i="85"/>
  <c r="D271" i="85"/>
  <c r="D58" i="85"/>
  <c r="D221" i="85"/>
  <c r="E172" i="85"/>
  <c r="E257" i="85"/>
  <c r="D206" i="85"/>
  <c r="G271" i="85"/>
  <c r="G221" i="85"/>
  <c r="H257" i="85"/>
  <c r="G58" i="85"/>
  <c r="H172" i="85"/>
  <c r="K68" i="22"/>
  <c r="F271" i="85"/>
  <c r="F58" i="85"/>
  <c r="F221" i="85"/>
  <c r="G172" i="85"/>
  <c r="G257" i="85"/>
  <c r="F206" i="85"/>
  <c r="G96" i="22"/>
  <c r="I11" i="29"/>
  <c r="I96" i="29"/>
  <c r="H60" i="29"/>
  <c r="E271" i="85"/>
  <c r="E58" i="85"/>
  <c r="F257" i="85"/>
  <c r="E221" i="85"/>
  <c r="F172" i="85"/>
  <c r="E206" i="85"/>
  <c r="M63" i="22"/>
  <c r="D96" i="22"/>
  <c r="F11" i="29"/>
  <c r="E60" i="29"/>
  <c r="F96" i="29"/>
  <c r="G196" i="85"/>
  <c r="H155" i="29"/>
  <c r="H125" i="29"/>
  <c r="H170" i="29"/>
  <c r="H35" i="29"/>
  <c r="H140" i="29"/>
  <c r="H11" i="85"/>
  <c r="H11" i="21"/>
  <c r="K36" i="61"/>
  <c r="K55" i="48"/>
  <c r="I169" i="29"/>
  <c r="I139" i="29"/>
  <c r="I34" i="29"/>
  <c r="I154" i="29"/>
  <c r="I124" i="29"/>
  <c r="K52" i="61"/>
  <c r="H20" i="85"/>
  <c r="J44" i="42"/>
  <c r="J46" i="42"/>
  <c r="G131" i="29"/>
  <c r="G176" i="29"/>
  <c r="G24" i="68"/>
  <c r="D261" i="53"/>
  <c r="D263" i="53"/>
  <c r="B22" i="21"/>
  <c r="F182" i="53"/>
  <c r="F6" i="61"/>
  <c r="E260" i="53"/>
  <c r="B12" i="85"/>
  <c r="B197" i="85"/>
  <c r="G69" i="81"/>
  <c r="F15" i="72"/>
  <c r="F39" i="72"/>
  <c r="H132" i="53"/>
  <c r="F19" i="72"/>
  <c r="F43" i="72"/>
  <c r="G73" i="81"/>
  <c r="F15" i="61"/>
  <c r="E261" i="53"/>
  <c r="E263" i="53"/>
  <c r="E191" i="53"/>
  <c r="C12" i="21"/>
  <c r="B12" i="21"/>
  <c r="C36" i="29"/>
  <c r="F20" i="72"/>
  <c r="F44" i="72"/>
  <c r="G74" i="81"/>
  <c r="H137" i="53"/>
  <c r="H136" i="53"/>
  <c r="C12" i="85"/>
  <c r="C197" i="85"/>
  <c r="G211" i="53"/>
  <c r="G143" i="53"/>
  <c r="F252" i="53"/>
  <c r="F188" i="53"/>
  <c r="E22" i="72"/>
  <c r="E46" i="72"/>
  <c r="F76" i="81"/>
  <c r="E80" i="55"/>
  <c r="E132" i="55"/>
  <c r="F118" i="53"/>
  <c r="F116" i="53"/>
  <c r="F85" i="81"/>
  <c r="E31" i="72"/>
  <c r="E55" i="72"/>
  <c r="E78" i="72"/>
  <c r="E79" i="72"/>
  <c r="E86" i="55"/>
  <c r="E138" i="55"/>
  <c r="D95" i="72"/>
  <c r="D96" i="72"/>
  <c r="G68" i="81"/>
  <c r="F14" i="72"/>
  <c r="F38" i="72"/>
  <c r="F187" i="53"/>
  <c r="F251" i="53"/>
  <c r="H70" i="81"/>
  <c r="H16" i="72"/>
  <c r="H40" i="72"/>
  <c r="G16" i="72"/>
  <c r="G40" i="72"/>
  <c r="F83" i="81"/>
  <c r="E29" i="72"/>
  <c r="E53" i="72"/>
  <c r="G209" i="53"/>
  <c r="G141" i="53"/>
  <c r="G139" i="53"/>
  <c r="G207" i="53"/>
  <c r="G210" i="53"/>
  <c r="G142" i="53"/>
  <c r="E37" i="72"/>
  <c r="F48" i="61"/>
  <c r="F55" i="61"/>
  <c r="C25" i="69"/>
  <c r="D12" i="68"/>
  <c r="C126" i="29"/>
  <c r="H130" i="53"/>
  <c r="E26" i="72"/>
  <c r="E50" i="72"/>
  <c r="F80" i="81"/>
  <c r="G149" i="53"/>
  <c r="G217" i="53"/>
  <c r="F115" i="53"/>
  <c r="F119" i="53"/>
  <c r="E83" i="55"/>
  <c r="E135" i="55"/>
  <c r="F247" i="53"/>
  <c r="F183" i="53"/>
  <c r="H71" i="81"/>
  <c r="H17" i="72"/>
  <c r="H41" i="72"/>
  <c r="G17" i="72"/>
  <c r="G41" i="72"/>
  <c r="G213" i="53"/>
  <c r="G145" i="53"/>
  <c r="H131" i="53"/>
  <c r="G148" i="53"/>
  <c r="G216" i="53"/>
  <c r="F255" i="53"/>
  <c r="G67" i="81"/>
  <c r="F13" i="72"/>
  <c r="G144" i="53"/>
  <c r="G212" i="53"/>
  <c r="F79" i="81"/>
  <c r="E25" i="72"/>
  <c r="E49" i="72"/>
  <c r="F87" i="55"/>
  <c r="F139" i="55"/>
  <c r="E81" i="55"/>
  <c r="E133" i="55"/>
  <c r="D32" i="72"/>
  <c r="F254" i="53"/>
  <c r="G140" i="53"/>
  <c r="G208" i="53"/>
  <c r="E27" i="72"/>
  <c r="E51" i="72"/>
  <c r="F81" i="81"/>
  <c r="F82" i="81"/>
  <c r="E28" i="72"/>
  <c r="E52" i="72"/>
  <c r="E79" i="55"/>
  <c r="E131" i="55"/>
  <c r="E85" i="55"/>
  <c r="E137" i="55"/>
  <c r="E88" i="55"/>
  <c r="E140" i="55"/>
  <c r="G75" i="81"/>
  <c r="F21" i="72"/>
  <c r="F45" i="72"/>
  <c r="D275" i="53"/>
  <c r="D277" i="53"/>
  <c r="B22" i="85"/>
  <c r="E84" i="55"/>
  <c r="E136" i="55"/>
  <c r="C12" i="72"/>
  <c r="C35" i="72"/>
  <c r="E82" i="55"/>
  <c r="E134" i="55"/>
  <c r="F114" i="53"/>
  <c r="H135" i="53"/>
  <c r="F18" i="72"/>
  <c r="F42" i="72"/>
  <c r="G72" i="81"/>
  <c r="G218" i="53"/>
  <c r="G150" i="53"/>
  <c r="G214" i="53"/>
  <c r="G146" i="53"/>
  <c r="F77" i="81"/>
  <c r="E23" i="72"/>
  <c r="E47" i="72"/>
  <c r="E63" i="72"/>
  <c r="E64" i="72"/>
  <c r="F248" i="53"/>
  <c r="F184" i="53"/>
  <c r="F70" i="72"/>
  <c r="F71" i="72"/>
  <c r="E30" i="72"/>
  <c r="E54" i="72"/>
  <c r="F84" i="81"/>
  <c r="F78" i="81"/>
  <c r="E24" i="72"/>
  <c r="E48" i="72"/>
  <c r="E175" i="72"/>
  <c r="E177" i="72"/>
  <c r="G161" i="29"/>
  <c r="G146" i="29"/>
  <c r="B9" i="69"/>
  <c r="C31" i="68"/>
  <c r="C8" i="21"/>
  <c r="D137" i="29"/>
  <c r="C8" i="85"/>
  <c r="C193" i="85"/>
  <c r="H50" i="61"/>
  <c r="H185" i="55"/>
  <c r="F8" i="21"/>
  <c r="G32" i="29"/>
  <c r="C19" i="21"/>
  <c r="E200" i="55"/>
  <c r="D8" i="21"/>
  <c r="E152" i="29"/>
  <c r="G37" i="61"/>
  <c r="H16" i="61"/>
  <c r="I7" i="61"/>
  <c r="B19" i="85"/>
  <c r="D175" i="72"/>
  <c r="D177" i="72"/>
  <c r="B19" i="21"/>
  <c r="B194" i="85"/>
  <c r="D168" i="29"/>
  <c r="D123" i="29"/>
  <c r="D153" i="29"/>
  <c r="D33" i="29"/>
  <c r="D138" i="29"/>
  <c r="B10" i="69"/>
  <c r="C32" i="68"/>
  <c r="C123" i="29"/>
  <c r="C33" i="29"/>
  <c r="C138" i="29"/>
  <c r="C153" i="29"/>
  <c r="C168" i="29"/>
  <c r="E8" i="85"/>
  <c r="E193" i="85"/>
  <c r="E8" i="21"/>
  <c r="F152" i="29"/>
  <c r="M57" i="22"/>
  <c r="H9" i="85"/>
  <c r="H194" i="85"/>
  <c r="K38" i="61"/>
  <c r="G36" i="85"/>
  <c r="G206" i="85"/>
  <c r="F201" i="55"/>
  <c r="G7" i="61"/>
  <c r="E201" i="55"/>
  <c r="G200" i="55"/>
  <c r="G175" i="72"/>
  <c r="G177" i="72"/>
  <c r="E19" i="85"/>
  <c r="E19" i="21"/>
  <c r="H165" i="72"/>
  <c r="H167" i="72"/>
  <c r="H28" i="85"/>
  <c r="G9" i="21"/>
  <c r="J38" i="61"/>
  <c r="G9" i="85"/>
  <c r="G194" i="85"/>
  <c r="J51" i="61"/>
  <c r="G153" i="29"/>
  <c r="G138" i="29"/>
  <c r="G123" i="29"/>
  <c r="G33" i="29"/>
  <c r="G168" i="29"/>
  <c r="I168" i="29"/>
  <c r="I33" i="29"/>
  <c r="I123" i="29"/>
  <c r="I153" i="29"/>
  <c r="I138" i="29"/>
  <c r="N39" i="22"/>
  <c r="H35" i="85"/>
  <c r="E67" i="22"/>
  <c r="F51" i="22"/>
  <c r="L65" i="22"/>
  <c r="M45" i="22"/>
  <c r="E49" i="22"/>
  <c r="D68" i="22"/>
  <c r="I155" i="29"/>
  <c r="I35" i="29"/>
  <c r="I170" i="29"/>
  <c r="I125" i="29"/>
  <c r="I140" i="29"/>
  <c r="H196" i="85"/>
  <c r="H131" i="29"/>
  <c r="F12" i="61"/>
  <c r="B200" i="85"/>
  <c r="G255" i="53"/>
  <c r="B25" i="85"/>
  <c r="B38" i="85"/>
  <c r="B15" i="21"/>
  <c r="C6" i="68"/>
  <c r="C171" i="29"/>
  <c r="C174" i="29"/>
  <c r="C141" i="29"/>
  <c r="C144" i="29"/>
  <c r="B15" i="85"/>
  <c r="C156" i="29"/>
  <c r="C159" i="29"/>
  <c r="G254" i="53"/>
  <c r="G6" i="61"/>
  <c r="F260" i="53"/>
  <c r="F35" i="61"/>
  <c r="F42" i="61"/>
  <c r="C9" i="69"/>
  <c r="D31" i="68"/>
  <c r="H69" i="81"/>
  <c r="H15" i="72"/>
  <c r="H39" i="72"/>
  <c r="G15" i="72"/>
  <c r="G39" i="72"/>
  <c r="F21" i="61"/>
  <c r="F43" i="61"/>
  <c r="F191" i="53"/>
  <c r="G35" i="61"/>
  <c r="G42" i="61"/>
  <c r="D9" i="69"/>
  <c r="G19" i="72"/>
  <c r="G43" i="72"/>
  <c r="H73" i="81"/>
  <c r="H19" i="72"/>
  <c r="H43" i="72"/>
  <c r="C200" i="85"/>
  <c r="G48" i="61"/>
  <c r="G55" i="61"/>
  <c r="D25" i="69"/>
  <c r="E12" i="68"/>
  <c r="H74" i="81"/>
  <c r="H20" i="72"/>
  <c r="H44" i="72"/>
  <c r="G20" i="72"/>
  <c r="G44" i="72"/>
  <c r="C22" i="21"/>
  <c r="C22" i="85"/>
  <c r="E275" i="53"/>
  <c r="E277" i="53"/>
  <c r="F88" i="55"/>
  <c r="F140" i="55"/>
  <c r="H67" i="81"/>
  <c r="H13" i="72"/>
  <c r="G13" i="72"/>
  <c r="H139" i="53"/>
  <c r="G80" i="81"/>
  <c r="F26" i="72"/>
  <c r="F50" i="72"/>
  <c r="G83" i="81"/>
  <c r="F29" i="72"/>
  <c r="F53" i="72"/>
  <c r="H70" i="72"/>
  <c r="H71" i="72"/>
  <c r="G14" i="72"/>
  <c r="G38" i="72"/>
  <c r="H68" i="81"/>
  <c r="H14" i="72"/>
  <c r="H38" i="72"/>
  <c r="F86" i="55"/>
  <c r="F138" i="55"/>
  <c r="H150" i="53"/>
  <c r="F80" i="55"/>
  <c r="F132" i="55"/>
  <c r="G84" i="81"/>
  <c r="F30" i="72"/>
  <c r="F54" i="72"/>
  <c r="E96" i="72"/>
  <c r="E95" i="72"/>
  <c r="H72" i="81"/>
  <c r="H18" i="72"/>
  <c r="H42" i="72"/>
  <c r="G18" i="72"/>
  <c r="G42" i="72"/>
  <c r="G246" i="53"/>
  <c r="G182" i="53"/>
  <c r="H144" i="53"/>
  <c r="H148" i="53"/>
  <c r="F85" i="55"/>
  <c r="F137" i="55"/>
  <c r="F28" i="72"/>
  <c r="F52" i="72"/>
  <c r="G82" i="81"/>
  <c r="F81" i="55"/>
  <c r="F133" i="55"/>
  <c r="G79" i="81"/>
  <c r="F25" i="72"/>
  <c r="F49" i="72"/>
  <c r="H142" i="53"/>
  <c r="F83" i="55"/>
  <c r="F135" i="55"/>
  <c r="H146" i="53"/>
  <c r="G248" i="53"/>
  <c r="G184" i="53"/>
  <c r="G76" i="81"/>
  <c r="F22" i="72"/>
  <c r="F46" i="72"/>
  <c r="D156" i="29"/>
  <c r="D36" i="29"/>
  <c r="D171" i="29"/>
  <c r="D141" i="29"/>
  <c r="D144" i="29"/>
  <c r="D126" i="29"/>
  <c r="C39" i="29"/>
  <c r="B25" i="21"/>
  <c r="C162" i="29"/>
  <c r="C163" i="29"/>
  <c r="G77" i="81"/>
  <c r="F23" i="72"/>
  <c r="F47" i="72"/>
  <c r="F78" i="72"/>
  <c r="F79" i="72"/>
  <c r="H75" i="81"/>
  <c r="H21" i="72"/>
  <c r="H45" i="72"/>
  <c r="G21" i="72"/>
  <c r="G45" i="72"/>
  <c r="G81" i="81"/>
  <c r="F27" i="72"/>
  <c r="F51" i="72"/>
  <c r="H141" i="53"/>
  <c r="G252" i="53"/>
  <c r="G188" i="53"/>
  <c r="H143" i="53"/>
  <c r="G85" i="81"/>
  <c r="F31" i="72"/>
  <c r="F55" i="72"/>
  <c r="G187" i="53"/>
  <c r="G251" i="53"/>
  <c r="G15" i="61"/>
  <c r="C129" i="29"/>
  <c r="G78" i="81"/>
  <c r="F24" i="72"/>
  <c r="F48" i="72"/>
  <c r="H140" i="53"/>
  <c r="F82" i="55"/>
  <c r="F134" i="55"/>
  <c r="F84" i="55"/>
  <c r="F136" i="55"/>
  <c r="F79" i="55"/>
  <c r="F131" i="55"/>
  <c r="H145" i="53"/>
  <c r="D12" i="72"/>
  <c r="D35" i="72"/>
  <c r="G87" i="55"/>
  <c r="G139" i="55"/>
  <c r="H87" i="55"/>
  <c r="H139" i="55"/>
  <c r="F37" i="72"/>
  <c r="G247" i="53"/>
  <c r="G183" i="53"/>
  <c r="E32" i="72"/>
  <c r="G70" i="72"/>
  <c r="G71" i="72"/>
  <c r="F64" i="72"/>
  <c r="F63" i="72"/>
  <c r="H149" i="53"/>
  <c r="C15" i="21"/>
  <c r="D6" i="68"/>
  <c r="D32" i="29"/>
  <c r="D167" i="29"/>
  <c r="B24" i="69"/>
  <c r="D122" i="29"/>
  <c r="D152" i="29"/>
  <c r="E122" i="29"/>
  <c r="C15" i="85"/>
  <c r="E167" i="29"/>
  <c r="H200" i="55"/>
  <c r="E137" i="29"/>
  <c r="E32" i="29"/>
  <c r="H201" i="55"/>
  <c r="J37" i="61"/>
  <c r="I50" i="61"/>
  <c r="E203" i="55"/>
  <c r="C18" i="21"/>
  <c r="G167" i="29"/>
  <c r="I37" i="61"/>
  <c r="F8" i="85"/>
  <c r="F193" i="85"/>
  <c r="G152" i="29"/>
  <c r="G122" i="29"/>
  <c r="G137" i="29"/>
  <c r="G201" i="55"/>
  <c r="G203" i="55"/>
  <c r="G210" i="55"/>
  <c r="G213" i="55"/>
  <c r="F137" i="29"/>
  <c r="F167" i="29"/>
  <c r="F122" i="29"/>
  <c r="F32" i="29"/>
  <c r="H161" i="29"/>
  <c r="H146" i="29"/>
  <c r="H24" i="68"/>
  <c r="H176" i="29"/>
  <c r="F200" i="55"/>
  <c r="F203" i="55"/>
  <c r="H175" i="72"/>
  <c r="H177" i="72"/>
  <c r="F19" i="21"/>
  <c r="F19" i="85"/>
  <c r="H36" i="85"/>
  <c r="H206" i="85"/>
  <c r="H123" i="29"/>
  <c r="H168" i="29"/>
  <c r="H138" i="29"/>
  <c r="H153" i="29"/>
  <c r="H33" i="29"/>
  <c r="O39" i="22"/>
  <c r="F72" i="86"/>
  <c r="E52" i="22"/>
  <c r="E65" i="22"/>
  <c r="D13" i="69"/>
  <c r="D15" i="69"/>
  <c r="L51" i="22"/>
  <c r="N57" i="22"/>
  <c r="N63" i="22"/>
  <c r="G51" i="22"/>
  <c r="F67" i="22"/>
  <c r="I131" i="29"/>
  <c r="B40" i="85"/>
  <c r="B270" i="85"/>
  <c r="G12" i="61"/>
  <c r="B38" i="21"/>
  <c r="B40" i="21"/>
  <c r="C109" i="29"/>
  <c r="B202" i="85"/>
  <c r="B204" i="85"/>
  <c r="B208" i="85"/>
  <c r="E31" i="68"/>
  <c r="C41" i="29"/>
  <c r="C43" i="29"/>
  <c r="C47" i="29"/>
  <c r="C132" i="29"/>
  <c r="C133" i="29"/>
  <c r="C134" i="29"/>
  <c r="C10" i="69"/>
  <c r="D32" i="68"/>
  <c r="C147" i="29"/>
  <c r="C148" i="29"/>
  <c r="C149" i="29"/>
  <c r="C164" i="29"/>
  <c r="D12" i="85"/>
  <c r="D197" i="85"/>
  <c r="D200" i="85"/>
  <c r="D12" i="21"/>
  <c r="D15" i="21"/>
  <c r="E6" i="68"/>
  <c r="G191" i="53"/>
  <c r="H35" i="61"/>
  <c r="H42" i="61"/>
  <c r="E9" i="69"/>
  <c r="F31" i="68"/>
  <c r="C23" i="68"/>
  <c r="C177" i="29"/>
  <c r="C178" i="29"/>
  <c r="C179" i="29"/>
  <c r="F45" i="61"/>
  <c r="F56" i="61"/>
  <c r="C24" i="69"/>
  <c r="D29" i="68"/>
  <c r="D159" i="29"/>
  <c r="H15" i="61"/>
  <c r="G261" i="53"/>
  <c r="D129" i="29"/>
  <c r="C25" i="21"/>
  <c r="D162" i="29"/>
  <c r="D163" i="29"/>
  <c r="H79" i="55"/>
  <c r="H131" i="55"/>
  <c r="G79" i="55"/>
  <c r="G131" i="55"/>
  <c r="H78" i="81"/>
  <c r="H24" i="72"/>
  <c r="H48" i="72"/>
  <c r="G24" i="72"/>
  <c r="G48" i="72"/>
  <c r="H82" i="81"/>
  <c r="H28" i="72"/>
  <c r="H52" i="72"/>
  <c r="G28" i="72"/>
  <c r="G52" i="72"/>
  <c r="G78" i="72"/>
  <c r="G79" i="72"/>
  <c r="G80" i="55"/>
  <c r="G132" i="55"/>
  <c r="H80" i="55"/>
  <c r="H132" i="55"/>
  <c r="G86" i="55"/>
  <c r="G138" i="55"/>
  <c r="H86" i="55"/>
  <c r="H138" i="55"/>
  <c r="H184" i="53"/>
  <c r="G37" i="72"/>
  <c r="E12" i="72"/>
  <c r="E35" i="72"/>
  <c r="G84" i="55"/>
  <c r="G136" i="55"/>
  <c r="H84" i="55"/>
  <c r="H136" i="55"/>
  <c r="H6" i="61"/>
  <c r="F261" i="53"/>
  <c r="F263" i="53"/>
  <c r="G21" i="61"/>
  <c r="H85" i="81"/>
  <c r="H31" i="72"/>
  <c r="H55" i="72"/>
  <c r="G31" i="72"/>
  <c r="G55" i="72"/>
  <c r="F95" i="72"/>
  <c r="F96" i="72"/>
  <c r="H76" i="81"/>
  <c r="H22" i="72"/>
  <c r="H46" i="72"/>
  <c r="G22" i="72"/>
  <c r="G46" i="72"/>
  <c r="H83" i="55"/>
  <c r="H135" i="55"/>
  <c r="G83" i="55"/>
  <c r="G135" i="55"/>
  <c r="H81" i="55"/>
  <c r="H133" i="55"/>
  <c r="G81" i="55"/>
  <c r="G133" i="55"/>
  <c r="H78" i="72"/>
  <c r="H79" i="72"/>
  <c r="H84" i="81"/>
  <c r="H30" i="72"/>
  <c r="H54" i="72"/>
  <c r="G30" i="72"/>
  <c r="G54" i="72"/>
  <c r="H63" i="72"/>
  <c r="H64" i="72"/>
  <c r="H37" i="72"/>
  <c r="G88" i="55"/>
  <c r="G140" i="55"/>
  <c r="H88" i="55"/>
  <c r="H140" i="55"/>
  <c r="D174" i="29"/>
  <c r="H187" i="53"/>
  <c r="F32" i="72"/>
  <c r="H188" i="53"/>
  <c r="H81" i="81"/>
  <c r="H27" i="72"/>
  <c r="H51" i="72"/>
  <c r="G27" i="72"/>
  <c r="G51" i="72"/>
  <c r="H77" i="81"/>
  <c r="H23" i="72"/>
  <c r="H47" i="72"/>
  <c r="G23" i="72"/>
  <c r="G47" i="72"/>
  <c r="H85" i="55"/>
  <c r="H137" i="55"/>
  <c r="G85" i="55"/>
  <c r="G137" i="55"/>
  <c r="G64" i="72"/>
  <c r="G63" i="72"/>
  <c r="H83" i="81"/>
  <c r="H29" i="72"/>
  <c r="H53" i="72"/>
  <c r="G29" i="72"/>
  <c r="G53" i="72"/>
  <c r="H80" i="81"/>
  <c r="H26" i="72"/>
  <c r="H50" i="72"/>
  <c r="G26" i="72"/>
  <c r="G50" i="72"/>
  <c r="H48" i="61"/>
  <c r="H55" i="61"/>
  <c r="E25" i="69"/>
  <c r="F12" i="68"/>
  <c r="D39" i="29"/>
  <c r="H82" i="55"/>
  <c r="H134" i="55"/>
  <c r="G82" i="55"/>
  <c r="G134" i="55"/>
  <c r="H182" i="53"/>
  <c r="H79" i="81"/>
  <c r="H25" i="72"/>
  <c r="H49" i="72"/>
  <c r="G25" i="72"/>
  <c r="G49" i="72"/>
  <c r="H183" i="53"/>
  <c r="H203" i="55"/>
  <c r="F18" i="85"/>
  <c r="I32" i="29"/>
  <c r="E210" i="55"/>
  <c r="E213" i="55"/>
  <c r="C18" i="85"/>
  <c r="C25" i="85"/>
  <c r="C38" i="85"/>
  <c r="C40" i="85"/>
  <c r="H152" i="29"/>
  <c r="J50" i="61"/>
  <c r="G8" i="85"/>
  <c r="G193" i="85"/>
  <c r="J41" i="21"/>
  <c r="C11" i="68"/>
  <c r="C29" i="68"/>
  <c r="B27" i="69"/>
  <c r="K50" i="61"/>
  <c r="G63" i="86"/>
  <c r="G68" i="86"/>
  <c r="E18" i="21"/>
  <c r="E18" i="85"/>
  <c r="F210" i="55"/>
  <c r="F213" i="55"/>
  <c r="D18" i="21"/>
  <c r="D18" i="85"/>
  <c r="I146" i="29"/>
  <c r="I24" i="68"/>
  <c r="I176" i="29"/>
  <c r="J175" i="72"/>
  <c r="J177" i="72"/>
  <c r="H19" i="85"/>
  <c r="I175" i="72"/>
  <c r="I177" i="72"/>
  <c r="G19" i="85"/>
  <c r="I161" i="29"/>
  <c r="P39" i="22"/>
  <c r="G60" i="86"/>
  <c r="L68" i="22"/>
  <c r="H51" i="22"/>
  <c r="G67" i="22"/>
  <c r="N45" i="22"/>
  <c r="E68" i="22"/>
  <c r="F49" i="22"/>
  <c r="L67" i="22"/>
  <c r="C97" i="22"/>
  <c r="C59" i="85"/>
  <c r="B45" i="85"/>
  <c r="D15" i="85"/>
  <c r="B45" i="21"/>
  <c r="E12" i="21"/>
  <c r="F126" i="29"/>
  <c r="F129" i="29"/>
  <c r="E36" i="29"/>
  <c r="E39" i="29"/>
  <c r="I48" i="61"/>
  <c r="I55" i="61"/>
  <c r="F25" i="69"/>
  <c r="G12" i="68"/>
  <c r="C38" i="21"/>
  <c r="C40" i="21"/>
  <c r="D109" i="29"/>
  <c r="D147" i="29"/>
  <c r="D148" i="29"/>
  <c r="D149" i="29"/>
  <c r="H21" i="61"/>
  <c r="E10" i="69"/>
  <c r="E171" i="29"/>
  <c r="E174" i="29"/>
  <c r="E141" i="29"/>
  <c r="E144" i="29"/>
  <c r="E126" i="29"/>
  <c r="E129" i="29"/>
  <c r="E156" i="29"/>
  <c r="E159" i="29"/>
  <c r="E12" i="85"/>
  <c r="E197" i="85"/>
  <c r="E200" i="85"/>
  <c r="C27" i="69"/>
  <c r="D132" i="29"/>
  <c r="D133" i="29"/>
  <c r="D134" i="29"/>
  <c r="D177" i="29"/>
  <c r="D178" i="29"/>
  <c r="D179" i="29"/>
  <c r="D11" i="68"/>
  <c r="D13" i="68"/>
  <c r="D41" i="29"/>
  <c r="D43" i="29"/>
  <c r="D47" i="29"/>
  <c r="D23" i="68"/>
  <c r="I6" i="61"/>
  <c r="H260" i="53"/>
  <c r="H261" i="53"/>
  <c r="D164" i="29"/>
  <c r="H191" i="53"/>
  <c r="F12" i="21"/>
  <c r="F12" i="72"/>
  <c r="F35" i="72"/>
  <c r="F156" i="29"/>
  <c r="F159" i="29"/>
  <c r="H32" i="72"/>
  <c r="D22" i="21"/>
  <c r="D25" i="21"/>
  <c r="D22" i="85"/>
  <c r="D25" i="85"/>
  <c r="D202" i="85"/>
  <c r="D204" i="85"/>
  <c r="D208" i="85"/>
  <c r="F275" i="53"/>
  <c r="F277" i="53"/>
  <c r="G260" i="53"/>
  <c r="G263" i="53"/>
  <c r="H12" i="61"/>
  <c r="G32" i="72"/>
  <c r="G95" i="72"/>
  <c r="G96" i="72"/>
  <c r="H95" i="72"/>
  <c r="H96" i="72"/>
  <c r="D10" i="69"/>
  <c r="E32" i="68"/>
  <c r="G43" i="61"/>
  <c r="G45" i="61"/>
  <c r="G56" i="61"/>
  <c r="D24" i="69"/>
  <c r="C202" i="85"/>
  <c r="C204" i="85"/>
  <c r="C208" i="85"/>
  <c r="H210" i="55"/>
  <c r="H213" i="55"/>
  <c r="G18" i="85"/>
  <c r="F18" i="21"/>
  <c r="I137" i="29"/>
  <c r="H137" i="29"/>
  <c r="H167" i="29"/>
  <c r="H32" i="29"/>
  <c r="H122" i="29"/>
  <c r="I122" i="29"/>
  <c r="K37" i="61"/>
  <c r="I167" i="29"/>
  <c r="I152" i="29"/>
  <c r="H8" i="85"/>
  <c r="C270" i="85"/>
  <c r="C45" i="85"/>
  <c r="O57" i="22"/>
  <c r="Q39" i="22"/>
  <c r="I51" i="22"/>
  <c r="I67" i="22"/>
  <c r="H67" i="22"/>
  <c r="O63" i="22"/>
  <c r="F52" i="22"/>
  <c r="F65" i="22"/>
  <c r="E13" i="69"/>
  <c r="E15" i="69"/>
  <c r="M65" i="22"/>
  <c r="E15" i="21"/>
  <c r="F6" i="68"/>
  <c r="F36" i="29"/>
  <c r="F39" i="29"/>
  <c r="E15" i="85"/>
  <c r="F141" i="29"/>
  <c r="F144" i="29"/>
  <c r="F171" i="29"/>
  <c r="F174" i="29"/>
  <c r="C45" i="21"/>
  <c r="I21" i="61"/>
  <c r="F10" i="69"/>
  <c r="G32" i="68"/>
  <c r="H43" i="61"/>
  <c r="H45" i="61"/>
  <c r="H56" i="61"/>
  <c r="E24" i="69"/>
  <c r="F29" i="68"/>
  <c r="I12" i="61"/>
  <c r="F12" i="85"/>
  <c r="F197" i="85"/>
  <c r="F200" i="85"/>
  <c r="E132" i="29"/>
  <c r="E133" i="29"/>
  <c r="E134" i="29"/>
  <c r="E147" i="29"/>
  <c r="E148" i="29"/>
  <c r="E149" i="29"/>
  <c r="E177" i="29"/>
  <c r="E178" i="29"/>
  <c r="E179" i="29"/>
  <c r="D38" i="21"/>
  <c r="D40" i="21"/>
  <c r="D45" i="21"/>
  <c r="E162" i="29"/>
  <c r="E163" i="29"/>
  <c r="E164" i="29"/>
  <c r="E23" i="68"/>
  <c r="D38" i="85"/>
  <c r="D40" i="85"/>
  <c r="D45" i="85"/>
  <c r="I43" i="61"/>
  <c r="K48" i="61"/>
  <c r="K55" i="61"/>
  <c r="H25" i="69"/>
  <c r="I35" i="61"/>
  <c r="I42" i="61"/>
  <c r="F9" i="69"/>
  <c r="G31" i="68"/>
  <c r="H263" i="53"/>
  <c r="F22" i="21"/>
  <c r="F25" i="21"/>
  <c r="J48" i="61"/>
  <c r="J55" i="61"/>
  <c r="G25" i="69"/>
  <c r="H12" i="68"/>
  <c r="K35" i="61"/>
  <c r="K42" i="61"/>
  <c r="H9" i="69"/>
  <c r="E29" i="68"/>
  <c r="E11" i="68"/>
  <c r="E13" i="68"/>
  <c r="D27" i="69"/>
  <c r="H275" i="53"/>
  <c r="H277" i="53"/>
  <c r="G12" i="72"/>
  <c r="G35" i="72"/>
  <c r="H12" i="72"/>
  <c r="H35" i="72"/>
  <c r="F32" i="68"/>
  <c r="G156" i="29"/>
  <c r="G159" i="29"/>
  <c r="G126" i="29"/>
  <c r="G129" i="29"/>
  <c r="G141" i="29"/>
  <c r="G144" i="29"/>
  <c r="G171" i="29"/>
  <c r="G174" i="29"/>
  <c r="G36" i="29"/>
  <c r="G39" i="29"/>
  <c r="F15" i="21"/>
  <c r="G6" i="68"/>
  <c r="E41" i="29"/>
  <c r="E43" i="29"/>
  <c r="E47" i="29"/>
  <c r="E22" i="85"/>
  <c r="E25" i="85"/>
  <c r="E22" i="21"/>
  <c r="E25" i="21"/>
  <c r="G275" i="53"/>
  <c r="G277" i="53"/>
  <c r="I210" i="55"/>
  <c r="I213" i="55"/>
  <c r="H193" i="85"/>
  <c r="D22" i="29"/>
  <c r="B33" i="69"/>
  <c r="C33" i="69"/>
  <c r="D33" i="69"/>
  <c r="E33" i="69"/>
  <c r="F33" i="69"/>
  <c r="C7" i="68"/>
  <c r="P57" i="22"/>
  <c r="Q40" i="22"/>
  <c r="M68" i="22"/>
  <c r="G49" i="22"/>
  <c r="F68" i="22"/>
  <c r="P63" i="22"/>
  <c r="O45" i="22"/>
  <c r="M51" i="22"/>
  <c r="E27" i="69"/>
  <c r="F11" i="68"/>
  <c r="F13" i="68"/>
  <c r="J12" i="61"/>
  <c r="G12" i="85"/>
  <c r="G15" i="85"/>
  <c r="I45" i="61"/>
  <c r="I56" i="61"/>
  <c r="F24" i="69"/>
  <c r="G29" i="68"/>
  <c r="F22" i="85"/>
  <c r="F25" i="85"/>
  <c r="F38" i="85"/>
  <c r="J35" i="61"/>
  <c r="J42" i="61"/>
  <c r="G9" i="69"/>
  <c r="I31" i="68"/>
  <c r="F15" i="85"/>
  <c r="D270" i="85"/>
  <c r="I171" i="29"/>
  <c r="I174" i="29"/>
  <c r="E109" i="29"/>
  <c r="H12" i="85"/>
  <c r="I12" i="68"/>
  <c r="G147" i="29"/>
  <c r="G148" i="29"/>
  <c r="G149" i="29"/>
  <c r="G162" i="29"/>
  <c r="G163" i="29"/>
  <c r="G164" i="29"/>
  <c r="G41" i="29"/>
  <c r="G43" i="29"/>
  <c r="G47" i="29"/>
  <c r="F38" i="21"/>
  <c r="F40" i="21"/>
  <c r="F45" i="21"/>
  <c r="G177" i="29"/>
  <c r="G178" i="29"/>
  <c r="G179" i="29"/>
  <c r="G23" i="68"/>
  <c r="G132" i="29"/>
  <c r="G133" i="29"/>
  <c r="G134" i="29"/>
  <c r="E202" i="85"/>
  <c r="E204" i="85"/>
  <c r="E208" i="85"/>
  <c r="E38" i="85"/>
  <c r="E40" i="85"/>
  <c r="H156" i="29"/>
  <c r="H159" i="29"/>
  <c r="H141" i="29"/>
  <c r="H144" i="29"/>
  <c r="H126" i="29"/>
  <c r="H129" i="29"/>
  <c r="H171" i="29"/>
  <c r="H174" i="29"/>
  <c r="H36" i="29"/>
  <c r="H39" i="29"/>
  <c r="H6" i="68"/>
  <c r="K21" i="61"/>
  <c r="F177" i="29"/>
  <c r="F178" i="29"/>
  <c r="F179" i="29"/>
  <c r="F23" i="68"/>
  <c r="F147" i="29"/>
  <c r="F148" i="29"/>
  <c r="F149" i="29"/>
  <c r="F162" i="29"/>
  <c r="F163" i="29"/>
  <c r="F164" i="29"/>
  <c r="F132" i="29"/>
  <c r="F133" i="29"/>
  <c r="F134" i="29"/>
  <c r="E38" i="21"/>
  <c r="E40" i="21"/>
  <c r="F41" i="29"/>
  <c r="F43" i="29"/>
  <c r="F47" i="29"/>
  <c r="J21" i="61"/>
  <c r="J210" i="55"/>
  <c r="J213" i="55"/>
  <c r="H18" i="85"/>
  <c r="Q57" i="22"/>
  <c r="C10" i="68"/>
  <c r="C13" i="68"/>
  <c r="P45" i="22"/>
  <c r="Q63" i="22"/>
  <c r="N65" i="22"/>
  <c r="M67" i="22"/>
  <c r="G65" i="22"/>
  <c r="F13" i="69"/>
  <c r="F15" i="69"/>
  <c r="G52" i="22"/>
  <c r="D97" i="22"/>
  <c r="D59" i="85"/>
  <c r="Q58" i="22"/>
  <c r="G33" i="69"/>
  <c r="F202" i="85"/>
  <c r="F204" i="85"/>
  <c r="F208" i="85"/>
  <c r="G197" i="85"/>
  <c r="G200" i="85"/>
  <c r="F27" i="69"/>
  <c r="H31" i="68"/>
  <c r="G11" i="68"/>
  <c r="G13" i="68"/>
  <c r="I141" i="29"/>
  <c r="I144" i="29"/>
  <c r="I36" i="29"/>
  <c r="I39" i="29"/>
  <c r="I6" i="68"/>
  <c r="F40" i="85"/>
  <c r="F270" i="85"/>
  <c r="G109" i="29"/>
  <c r="I126" i="29"/>
  <c r="I129" i="29"/>
  <c r="I156" i="29"/>
  <c r="I159" i="29"/>
  <c r="H197" i="85"/>
  <c r="H200" i="85"/>
  <c r="H15" i="85"/>
  <c r="G10" i="69"/>
  <c r="H32" i="68"/>
  <c r="J43" i="61"/>
  <c r="J45" i="61"/>
  <c r="J56" i="61"/>
  <c r="G24" i="69"/>
  <c r="F109" i="29"/>
  <c r="E45" i="21"/>
  <c r="E45" i="85"/>
  <c r="E270" i="85"/>
  <c r="K12" i="61"/>
  <c r="H10" i="69"/>
  <c r="K43" i="61"/>
  <c r="K45" i="61"/>
  <c r="K56" i="61"/>
  <c r="H24" i="69"/>
  <c r="I275" i="53"/>
  <c r="I277" i="53"/>
  <c r="G22" i="85"/>
  <c r="G25" i="85"/>
  <c r="B70" i="85"/>
  <c r="Q45" i="22"/>
  <c r="N68" i="22"/>
  <c r="N51" i="22"/>
  <c r="N67" i="22"/>
  <c r="Q64" i="22"/>
  <c r="H49" i="22"/>
  <c r="G68" i="22"/>
  <c r="Q46" i="22"/>
  <c r="E97" i="22"/>
  <c r="E59" i="85"/>
  <c r="H33" i="69"/>
  <c r="I32" i="68"/>
  <c r="F45" i="85"/>
  <c r="G38" i="85"/>
  <c r="G40" i="85"/>
  <c r="G202" i="85"/>
  <c r="G204" i="85"/>
  <c r="G208" i="85"/>
  <c r="H22" i="85"/>
  <c r="H25" i="85"/>
  <c r="J275" i="53"/>
  <c r="J277" i="53"/>
  <c r="I29" i="68"/>
  <c r="I11" i="68"/>
  <c r="I13" i="68"/>
  <c r="H27" i="69"/>
  <c r="H31" i="69"/>
  <c r="G27" i="69"/>
  <c r="H11" i="68"/>
  <c r="H13" i="68"/>
  <c r="H29" i="68"/>
  <c r="H23" i="68"/>
  <c r="H177" i="29"/>
  <c r="H178" i="29"/>
  <c r="H179" i="29"/>
  <c r="H41" i="29"/>
  <c r="H43" i="29"/>
  <c r="H47" i="29"/>
  <c r="H162" i="29"/>
  <c r="H163" i="29"/>
  <c r="H164" i="29"/>
  <c r="H132" i="29"/>
  <c r="H133" i="29"/>
  <c r="H134" i="29"/>
  <c r="H147" i="29"/>
  <c r="H148" i="29"/>
  <c r="H149" i="29"/>
  <c r="B74" i="85"/>
  <c r="C76" i="85"/>
  <c r="D76" i="85"/>
  <c r="F76" i="85"/>
  <c r="E76" i="85"/>
  <c r="G76" i="85"/>
  <c r="C77" i="85"/>
  <c r="D77" i="85"/>
  <c r="B232" i="85"/>
  <c r="B244" i="85"/>
  <c r="B255" i="85"/>
  <c r="C183" i="85"/>
  <c r="H52" i="22"/>
  <c r="H65" i="22"/>
  <c r="G13" i="69"/>
  <c r="G15" i="69"/>
  <c r="I132" i="29"/>
  <c r="I133" i="29"/>
  <c r="I134" i="29"/>
  <c r="I41" i="29"/>
  <c r="I43" i="29"/>
  <c r="I47" i="29"/>
  <c r="C49" i="29"/>
  <c r="D28" i="62"/>
  <c r="I147" i="29"/>
  <c r="I148" i="29"/>
  <c r="I149" i="29"/>
  <c r="I177" i="29"/>
  <c r="I178" i="29"/>
  <c r="I179" i="29"/>
  <c r="I23" i="68"/>
  <c r="I162" i="29"/>
  <c r="I163" i="29"/>
  <c r="I164" i="29"/>
  <c r="G45" i="85"/>
  <c r="G270" i="85"/>
  <c r="G45" i="21"/>
  <c r="H38" i="85"/>
  <c r="H40" i="85"/>
  <c r="H202" i="85"/>
  <c r="H204" i="85"/>
  <c r="H208" i="85"/>
  <c r="B210" i="85"/>
  <c r="L28" i="62"/>
  <c r="F94" i="85"/>
  <c r="F108" i="85"/>
  <c r="F124" i="85"/>
  <c r="F142" i="85"/>
  <c r="F155" i="85"/>
  <c r="F105" i="85"/>
  <c r="F85" i="85"/>
  <c r="F89" i="85"/>
  <c r="F125" i="85"/>
  <c r="F110" i="85"/>
  <c r="F148" i="85"/>
  <c r="F99" i="85"/>
  <c r="F143" i="85"/>
  <c r="F93" i="85"/>
  <c r="F130" i="85"/>
  <c r="F156" i="85"/>
  <c r="F82" i="85"/>
  <c r="F103" i="85"/>
  <c r="F135" i="85"/>
  <c r="F84" i="85"/>
  <c r="F118" i="85"/>
  <c r="F132" i="85"/>
  <c r="F147" i="85"/>
  <c r="F107" i="85"/>
  <c r="F87" i="85"/>
  <c r="F120" i="85"/>
  <c r="F112" i="85"/>
  <c r="F119" i="85"/>
  <c r="F158" i="85"/>
  <c r="F134" i="85"/>
  <c r="F152" i="85"/>
  <c r="F90" i="85"/>
  <c r="F122" i="85"/>
  <c r="F151" i="85"/>
  <c r="F123" i="85"/>
  <c r="F117" i="85"/>
  <c r="F129" i="85"/>
  <c r="F131" i="85"/>
  <c r="F121" i="85"/>
  <c r="F159" i="85"/>
  <c r="F136" i="85"/>
  <c r="F98" i="85"/>
  <c r="F114" i="85"/>
  <c r="F128" i="85"/>
  <c r="F146" i="85"/>
  <c r="F95" i="85"/>
  <c r="F106" i="85"/>
  <c r="F86" i="85"/>
  <c r="F115" i="85"/>
  <c r="F126" i="85"/>
  <c r="F111" i="85"/>
  <c r="F149" i="85"/>
  <c r="F102" i="85"/>
  <c r="F144" i="85"/>
  <c r="F109" i="85"/>
  <c r="F139" i="85"/>
  <c r="F157" i="85"/>
  <c r="F101" i="85"/>
  <c r="F113" i="85"/>
  <c r="F137" i="85"/>
  <c r="F100" i="85"/>
  <c r="F96" i="85"/>
  <c r="F116" i="85"/>
  <c r="F150" i="85"/>
  <c r="F145" i="85"/>
  <c r="F127" i="85"/>
  <c r="F140" i="85"/>
  <c r="F133" i="85"/>
  <c r="F104" i="85"/>
  <c r="F138" i="85"/>
  <c r="F97" i="85"/>
  <c r="F88" i="85"/>
  <c r="F92" i="85"/>
  <c r="F83" i="85"/>
  <c r="F91" i="85"/>
  <c r="F141" i="85"/>
  <c r="F154" i="85"/>
  <c r="F153" i="85"/>
  <c r="O65" i="22"/>
  <c r="I49" i="22"/>
  <c r="H68" i="22"/>
  <c r="O68" i="22"/>
  <c r="O51" i="22"/>
  <c r="F77" i="85"/>
  <c r="H270" i="85"/>
  <c r="H45" i="85"/>
  <c r="H45" i="21"/>
  <c r="C276" i="85"/>
  <c r="E276" i="85"/>
  <c r="H276" i="85"/>
  <c r="F276" i="85"/>
  <c r="D276" i="85"/>
  <c r="G276" i="85"/>
  <c r="P65" i="22"/>
  <c r="O67" i="22"/>
  <c r="F97" i="22"/>
  <c r="F59" i="85"/>
  <c r="I52" i="22"/>
  <c r="I68" i="22"/>
  <c r="I65" i="22"/>
  <c r="H13" i="69"/>
  <c r="H15" i="69"/>
  <c r="E77" i="85"/>
  <c r="G77" i="85"/>
  <c r="C78" i="85"/>
  <c r="P51" i="22"/>
  <c r="P67" i="22"/>
  <c r="G97" i="22"/>
  <c r="G59" i="85"/>
  <c r="D78" i="85"/>
  <c r="P68" i="22"/>
  <c r="Q52" i="22"/>
  <c r="Q68" i="22"/>
  <c r="Q65" i="22"/>
  <c r="F78" i="85"/>
  <c r="Q51" i="22"/>
  <c r="Q67" i="22"/>
  <c r="E78" i="85"/>
  <c r="G78" i="85"/>
  <c r="C79" i="85"/>
  <c r="H97" i="22"/>
  <c r="H59" i="85"/>
  <c r="D79" i="85"/>
  <c r="F79" i="85"/>
  <c r="E79" i="85"/>
  <c r="G79" i="85"/>
  <c r="C80" i="85"/>
  <c r="D80" i="85"/>
  <c r="F80" i="85"/>
  <c r="E80" i="85"/>
  <c r="G80" i="85"/>
  <c r="C81" i="85"/>
  <c r="D81" i="85"/>
  <c r="F81" i="85"/>
  <c r="E81" i="85"/>
  <c r="G81" i="85"/>
  <c r="C82" i="85"/>
  <c r="B276" i="85"/>
  <c r="D82" i="85"/>
  <c r="E82" i="85"/>
  <c r="G82" i="85"/>
  <c r="C83" i="85"/>
  <c r="D83" i="85"/>
  <c r="E83" i="85"/>
  <c r="G83" i="85"/>
  <c r="C84" i="85"/>
  <c r="D84" i="85"/>
  <c r="E84" i="85"/>
  <c r="G84" i="85"/>
  <c r="C85" i="85"/>
  <c r="D85" i="85"/>
  <c r="E85" i="85"/>
  <c r="G85" i="85"/>
  <c r="C86" i="85"/>
  <c r="D86" i="85"/>
  <c r="E86" i="85"/>
  <c r="G86" i="85"/>
  <c r="C87" i="85"/>
  <c r="C27" i="68"/>
  <c r="D87" i="85"/>
  <c r="B47" i="21"/>
  <c r="B49" i="21"/>
  <c r="C110" i="29"/>
  <c r="B95" i="22"/>
  <c r="B98" i="22"/>
  <c r="B99" i="22"/>
  <c r="B50" i="21"/>
  <c r="C30" i="68"/>
  <c r="C33" i="68"/>
  <c r="C34" i="68"/>
  <c r="C36" i="68"/>
  <c r="J40" i="21"/>
  <c r="J42" i="21"/>
  <c r="B31" i="69"/>
  <c r="E87" i="85"/>
  <c r="G87" i="85"/>
  <c r="C88" i="85"/>
  <c r="B47" i="85"/>
  <c r="B49" i="85"/>
  <c r="B273" i="85"/>
  <c r="B274" i="85"/>
  <c r="B278" i="85"/>
  <c r="C112" i="29"/>
  <c r="C114" i="29"/>
  <c r="D35" i="68"/>
  <c r="B8" i="69"/>
  <c r="B11" i="69"/>
  <c r="B20" i="69"/>
  <c r="B57" i="85"/>
  <c r="B60" i="85"/>
  <c r="B61" i="85"/>
  <c r="B50" i="85"/>
  <c r="B51" i="85"/>
  <c r="D88" i="85"/>
  <c r="B51" i="21"/>
  <c r="C256" i="85"/>
  <c r="C259" i="85"/>
  <c r="C260" i="85"/>
  <c r="B241" i="85"/>
  <c r="B219" i="85"/>
  <c r="B224" i="85"/>
  <c r="B228" i="85"/>
  <c r="C170" i="85"/>
  <c r="C175" i="85"/>
  <c r="C80" i="29"/>
  <c r="D95" i="29"/>
  <c r="D98" i="29"/>
  <c r="D99" i="29"/>
  <c r="B53" i="21"/>
  <c r="C58" i="29"/>
  <c r="C63" i="29"/>
  <c r="C67" i="29"/>
  <c r="D9" i="29"/>
  <c r="D14" i="29"/>
  <c r="E88" i="85"/>
  <c r="G88" i="85"/>
  <c r="C89" i="85"/>
  <c r="C176" i="85"/>
  <c r="B37" i="69"/>
  <c r="B39" i="69"/>
  <c r="D89" i="85"/>
  <c r="D15" i="29"/>
  <c r="C36" i="69"/>
  <c r="B41" i="69"/>
  <c r="B43" i="69"/>
  <c r="B46" i="69"/>
  <c r="E89" i="85"/>
  <c r="G89" i="85"/>
  <c r="C90" i="85"/>
  <c r="D90" i="85"/>
  <c r="E90" i="85"/>
  <c r="G90" i="85"/>
  <c r="C91" i="85"/>
  <c r="D91" i="85"/>
  <c r="E91" i="85"/>
  <c r="G91" i="85"/>
  <c r="C92" i="85"/>
  <c r="D92" i="85"/>
  <c r="E92" i="85"/>
  <c r="G92" i="85"/>
  <c r="C93" i="85"/>
  <c r="D93" i="85"/>
  <c r="E93" i="85"/>
  <c r="G93" i="85"/>
  <c r="C94" i="85"/>
  <c r="D94" i="85"/>
  <c r="E94" i="85"/>
  <c r="G94" i="85"/>
  <c r="C95" i="85"/>
  <c r="D95" i="85"/>
  <c r="E95" i="85"/>
  <c r="G95" i="85"/>
  <c r="C96" i="85"/>
  <c r="D96" i="85"/>
  <c r="E96" i="85"/>
  <c r="G96" i="85"/>
  <c r="C97" i="85"/>
  <c r="D97" i="85"/>
  <c r="E97" i="85"/>
  <c r="G97" i="85"/>
  <c r="C98" i="85"/>
  <c r="D98" i="85"/>
  <c r="E98" i="85"/>
  <c r="G98" i="85"/>
  <c r="C99" i="85"/>
  <c r="D99" i="85"/>
  <c r="E99" i="85"/>
  <c r="G99" i="85"/>
  <c r="C100" i="85"/>
  <c r="C47" i="85"/>
  <c r="C49" i="85"/>
  <c r="C273" i="85"/>
  <c r="C274" i="85"/>
  <c r="C278" i="85"/>
  <c r="C57" i="85"/>
  <c r="C60" i="85"/>
  <c r="C61" i="85"/>
  <c r="C50" i="85"/>
  <c r="C51" i="85"/>
  <c r="D100" i="85"/>
  <c r="D256" i="85"/>
  <c r="D259" i="85"/>
  <c r="D260" i="85"/>
  <c r="C219" i="85"/>
  <c r="C224" i="85"/>
  <c r="C228" i="85"/>
  <c r="D170" i="85"/>
  <c r="D175" i="85"/>
  <c r="C241" i="85"/>
  <c r="E100" i="85"/>
  <c r="G100" i="85"/>
  <c r="C101" i="85"/>
  <c r="D176" i="85"/>
  <c r="D101" i="85"/>
  <c r="E101" i="85"/>
  <c r="G101" i="85"/>
  <c r="C102" i="85"/>
  <c r="D102" i="85"/>
  <c r="D27" i="68"/>
  <c r="C47" i="21"/>
  <c r="C49" i="21"/>
  <c r="D110" i="29"/>
  <c r="E102" i="85"/>
  <c r="G102" i="85"/>
  <c r="C103" i="85"/>
  <c r="C31" i="69"/>
  <c r="D103" i="85"/>
  <c r="D112" i="29"/>
  <c r="D114" i="29"/>
  <c r="C95" i="22"/>
  <c r="C98" i="22"/>
  <c r="C99" i="22"/>
  <c r="C50" i="21"/>
  <c r="D30" i="68"/>
  <c r="D33" i="68"/>
  <c r="D34" i="68"/>
  <c r="D36" i="68"/>
  <c r="C8" i="69"/>
  <c r="C11" i="69"/>
  <c r="C20" i="69"/>
  <c r="E35" i="68"/>
  <c r="E103" i="85"/>
  <c r="G103" i="85"/>
  <c r="C104" i="85"/>
  <c r="C51" i="21"/>
  <c r="D104" i="85"/>
  <c r="E95" i="29"/>
  <c r="E98" i="29"/>
  <c r="E99" i="29"/>
  <c r="E9" i="29"/>
  <c r="E14" i="29"/>
  <c r="D80" i="29"/>
  <c r="C37" i="69"/>
  <c r="C39" i="69"/>
  <c r="D58" i="29"/>
  <c r="D63" i="29"/>
  <c r="D67" i="29"/>
  <c r="C53" i="21"/>
  <c r="D36" i="69"/>
  <c r="C41" i="69"/>
  <c r="C43" i="69"/>
  <c r="C46" i="69"/>
  <c r="E104" i="85"/>
  <c r="G104" i="85"/>
  <c r="C105" i="85"/>
  <c r="E15" i="29"/>
  <c r="D105" i="85"/>
  <c r="E105" i="85"/>
  <c r="G105" i="85"/>
  <c r="C106" i="85"/>
  <c r="D106" i="85"/>
  <c r="E106" i="85"/>
  <c r="G106" i="85"/>
  <c r="C107" i="85"/>
  <c r="D107" i="85"/>
  <c r="E107" i="85"/>
  <c r="G107" i="85"/>
  <c r="C108" i="85"/>
  <c r="D108" i="85"/>
  <c r="E108" i="85"/>
  <c r="G108" i="85"/>
  <c r="C109" i="85"/>
  <c r="D109" i="85"/>
  <c r="E109" i="85"/>
  <c r="G109" i="85"/>
  <c r="C110" i="85"/>
  <c r="D110" i="85"/>
  <c r="E110" i="85"/>
  <c r="G110" i="85"/>
  <c r="C111" i="85"/>
  <c r="D111" i="85"/>
  <c r="E111" i="85"/>
  <c r="G111" i="85"/>
  <c r="C112" i="85"/>
  <c r="D47" i="85"/>
  <c r="D49" i="85"/>
  <c r="D273" i="85"/>
  <c r="D274" i="85"/>
  <c r="D278" i="85"/>
  <c r="D57" i="85"/>
  <c r="D60" i="85"/>
  <c r="D61" i="85"/>
  <c r="D50" i="85"/>
  <c r="D51" i="85"/>
  <c r="D112" i="85"/>
  <c r="D241" i="85"/>
  <c r="D219" i="85"/>
  <c r="D224" i="85"/>
  <c r="D228" i="85"/>
  <c r="E170" i="85"/>
  <c r="E175" i="85"/>
  <c r="E256" i="85"/>
  <c r="E259" i="85"/>
  <c r="E260" i="85"/>
  <c r="E112" i="85"/>
  <c r="G112" i="85"/>
  <c r="C113" i="85"/>
  <c r="D113" i="85"/>
  <c r="E176" i="85"/>
  <c r="E113" i="85"/>
  <c r="G113" i="85"/>
  <c r="C114" i="85"/>
  <c r="D114" i="85"/>
  <c r="E114" i="85"/>
  <c r="G114" i="85"/>
  <c r="C115" i="85"/>
  <c r="D115" i="85"/>
  <c r="E115" i="85"/>
  <c r="G115" i="85"/>
  <c r="C116" i="85"/>
  <c r="D116" i="85"/>
  <c r="E116" i="85"/>
  <c r="G116" i="85"/>
  <c r="C117" i="85"/>
  <c r="D117" i="85"/>
  <c r="E117" i="85"/>
  <c r="G117" i="85"/>
  <c r="C118" i="85"/>
  <c r="D118" i="85"/>
  <c r="E118" i="85"/>
  <c r="G118" i="85"/>
  <c r="C119" i="85"/>
  <c r="E27" i="68"/>
  <c r="D119" i="85"/>
  <c r="E119" i="85"/>
  <c r="G119" i="85"/>
  <c r="C120" i="85"/>
  <c r="D47" i="21"/>
  <c r="D49" i="21"/>
  <c r="E110" i="29"/>
  <c r="D31" i="69"/>
  <c r="D120" i="85"/>
  <c r="E120" i="85"/>
  <c r="G120" i="85"/>
  <c r="C121" i="85"/>
  <c r="D95" i="22"/>
  <c r="D98" i="22"/>
  <c r="D99" i="22"/>
  <c r="D50" i="21"/>
  <c r="E30" i="68"/>
  <c r="E33" i="68"/>
  <c r="E34" i="68"/>
  <c r="E36" i="68"/>
  <c r="E112" i="29"/>
  <c r="E114" i="29"/>
  <c r="F35" i="68"/>
  <c r="D8" i="69"/>
  <c r="D11" i="69"/>
  <c r="D20" i="69"/>
  <c r="D121" i="85"/>
  <c r="E121" i="85"/>
  <c r="G121" i="85"/>
  <c r="C122" i="85"/>
  <c r="D51" i="21"/>
  <c r="D122" i="85"/>
  <c r="E122" i="85"/>
  <c r="G122" i="85"/>
  <c r="C123" i="85"/>
  <c r="D37" i="69"/>
  <c r="D39" i="69"/>
  <c r="E80" i="29"/>
  <c r="F95" i="29"/>
  <c r="F98" i="29"/>
  <c r="F99" i="29"/>
  <c r="E58" i="29"/>
  <c r="E63" i="29"/>
  <c r="E67" i="29"/>
  <c r="F9" i="29"/>
  <c r="F14" i="29"/>
  <c r="D53" i="21"/>
  <c r="D123" i="85"/>
  <c r="F15" i="29"/>
  <c r="E36" i="69"/>
  <c r="D41" i="69"/>
  <c r="D43" i="69"/>
  <c r="D46" i="69"/>
  <c r="E123" i="85"/>
  <c r="G123" i="85"/>
  <c r="C124" i="85"/>
  <c r="E47" i="85"/>
  <c r="E49" i="85"/>
  <c r="E273" i="85"/>
  <c r="E274" i="85"/>
  <c r="E278" i="85"/>
  <c r="E57" i="85"/>
  <c r="E60" i="85"/>
  <c r="E61" i="85"/>
  <c r="E50" i="85"/>
  <c r="E51" i="85"/>
  <c r="D124" i="85"/>
  <c r="E241" i="85"/>
  <c r="F256" i="85"/>
  <c r="F259" i="85"/>
  <c r="F260" i="85"/>
  <c r="E219" i="85"/>
  <c r="E224" i="85"/>
  <c r="E228" i="85"/>
  <c r="F170" i="85"/>
  <c r="F175" i="85"/>
  <c r="E124" i="85"/>
  <c r="G124" i="85"/>
  <c r="C125" i="85"/>
  <c r="F176" i="85"/>
  <c r="D125" i="85"/>
  <c r="E125" i="85"/>
  <c r="G125" i="85"/>
  <c r="C126" i="85"/>
  <c r="D126" i="85"/>
  <c r="E126" i="85"/>
  <c r="G126" i="85"/>
  <c r="C127" i="85"/>
  <c r="D127" i="85"/>
  <c r="E127" i="85"/>
  <c r="G127" i="85"/>
  <c r="C128" i="85"/>
  <c r="D128" i="85"/>
  <c r="E128" i="85"/>
  <c r="G128" i="85"/>
  <c r="C129" i="85"/>
  <c r="D129" i="85"/>
  <c r="E129" i="85"/>
  <c r="G129" i="85"/>
  <c r="C130" i="85"/>
  <c r="D130" i="85"/>
  <c r="E130" i="85"/>
  <c r="G130" i="85"/>
  <c r="C131" i="85"/>
  <c r="D131" i="85"/>
  <c r="E131" i="85"/>
  <c r="G131" i="85"/>
  <c r="C132" i="85"/>
  <c r="D132" i="85"/>
  <c r="E132" i="85"/>
  <c r="G132" i="85"/>
  <c r="C133" i="85"/>
  <c r="D133" i="85"/>
  <c r="E133" i="85"/>
  <c r="G133" i="85"/>
  <c r="C134" i="85"/>
  <c r="D134" i="85"/>
  <c r="E134" i="85"/>
  <c r="G134" i="85"/>
  <c r="C135" i="85"/>
  <c r="D135" i="85"/>
  <c r="E135" i="85"/>
  <c r="G135" i="85"/>
  <c r="C136" i="85"/>
  <c r="F47" i="85"/>
  <c r="F49" i="85"/>
  <c r="F273" i="85"/>
  <c r="F274" i="85"/>
  <c r="F278" i="85"/>
  <c r="F57" i="85"/>
  <c r="F60" i="85"/>
  <c r="F61" i="85"/>
  <c r="F50" i="85"/>
  <c r="F51" i="85"/>
  <c r="D136" i="85"/>
  <c r="F27" i="68"/>
  <c r="G256" i="85"/>
  <c r="G259" i="85"/>
  <c r="F241" i="85"/>
  <c r="G170" i="85"/>
  <c r="G175" i="85"/>
  <c r="F219" i="85"/>
  <c r="F224" i="85"/>
  <c r="F228" i="85"/>
  <c r="E136" i="85"/>
  <c r="G136" i="85"/>
  <c r="C137" i="85"/>
  <c r="E47" i="21"/>
  <c r="E49" i="21"/>
  <c r="F110" i="29"/>
  <c r="E95" i="22"/>
  <c r="E98" i="22"/>
  <c r="E99" i="22"/>
  <c r="E50" i="21"/>
  <c r="F30" i="68"/>
  <c r="F33" i="68"/>
  <c r="F34" i="68"/>
  <c r="F36" i="68"/>
  <c r="E31" i="69"/>
  <c r="D137" i="85"/>
  <c r="G176" i="85"/>
  <c r="F112" i="29"/>
  <c r="F114" i="29"/>
  <c r="G260" i="85"/>
  <c r="C262" i="85"/>
  <c r="L32" i="62"/>
  <c r="G35" i="68"/>
  <c r="E8" i="69"/>
  <c r="E11" i="69"/>
  <c r="E20" i="69"/>
  <c r="E137" i="85"/>
  <c r="G137" i="85"/>
  <c r="C138" i="85"/>
  <c r="E51" i="21"/>
  <c r="D138" i="85"/>
  <c r="F58" i="29"/>
  <c r="F63" i="29"/>
  <c r="F67" i="29"/>
  <c r="E37" i="69"/>
  <c r="E39" i="69"/>
  <c r="G95" i="29"/>
  <c r="G98" i="29"/>
  <c r="G99" i="29"/>
  <c r="F80" i="29"/>
  <c r="G9" i="29"/>
  <c r="G14" i="29"/>
  <c r="E53" i="21"/>
  <c r="G15" i="29"/>
  <c r="E138" i="85"/>
  <c r="G138" i="85"/>
  <c r="C139" i="85"/>
  <c r="F36" i="69"/>
  <c r="E41" i="69"/>
  <c r="E43" i="69"/>
  <c r="E46" i="69"/>
  <c r="D139" i="85"/>
  <c r="E139" i="85"/>
  <c r="G139" i="85"/>
  <c r="C140" i="85"/>
  <c r="D140" i="85"/>
  <c r="E140" i="85"/>
  <c r="G140" i="85"/>
  <c r="C141" i="85"/>
  <c r="D141" i="85"/>
  <c r="E141" i="85"/>
  <c r="G141" i="85"/>
  <c r="C142" i="85"/>
  <c r="D142" i="85"/>
  <c r="E142" i="85"/>
  <c r="G142" i="85"/>
  <c r="C143" i="85"/>
  <c r="D143" i="85"/>
  <c r="E143" i="85"/>
  <c r="G143" i="85"/>
  <c r="C144" i="85"/>
  <c r="D144" i="85"/>
  <c r="E144" i="85"/>
  <c r="G144" i="85"/>
  <c r="C145" i="85"/>
  <c r="D145" i="85"/>
  <c r="E145" i="85"/>
  <c r="G145" i="85"/>
  <c r="C146" i="85"/>
  <c r="D146" i="85"/>
  <c r="E146" i="85"/>
  <c r="G146" i="85"/>
  <c r="C147" i="85"/>
  <c r="D147" i="85"/>
  <c r="E147" i="85"/>
  <c r="G147" i="85"/>
  <c r="C148" i="85"/>
  <c r="G47" i="85"/>
  <c r="G49" i="85"/>
  <c r="G273" i="85"/>
  <c r="G274" i="85"/>
  <c r="G278" i="85"/>
  <c r="G57" i="85"/>
  <c r="G60" i="85"/>
  <c r="G61" i="85"/>
  <c r="G50" i="85"/>
  <c r="G51" i="85"/>
  <c r="D148" i="85"/>
  <c r="H170" i="85"/>
  <c r="H175" i="85"/>
  <c r="H256" i="85"/>
  <c r="H259" i="85"/>
  <c r="H260" i="85"/>
  <c r="G219" i="85"/>
  <c r="G224" i="85"/>
  <c r="G228" i="85"/>
  <c r="G241" i="85"/>
  <c r="E148" i="85"/>
  <c r="G148" i="85"/>
  <c r="C149" i="85"/>
  <c r="D149" i="85"/>
  <c r="H176" i="85"/>
  <c r="E149" i="85"/>
  <c r="G149" i="85"/>
  <c r="C150" i="85"/>
  <c r="D150" i="85"/>
  <c r="E150" i="85"/>
  <c r="G150" i="85"/>
  <c r="C151" i="85"/>
  <c r="D151" i="85"/>
  <c r="E151" i="85"/>
  <c r="G151" i="85"/>
  <c r="C152" i="85"/>
  <c r="G27" i="68"/>
  <c r="F47" i="21"/>
  <c r="F49" i="21"/>
  <c r="G110" i="29"/>
  <c r="D152" i="85"/>
  <c r="E152" i="85"/>
  <c r="G152" i="85"/>
  <c r="C153" i="85"/>
  <c r="F31" i="69"/>
  <c r="G112" i="29"/>
  <c r="G114" i="29"/>
  <c r="F95" i="22"/>
  <c r="F98" i="22"/>
  <c r="F99" i="22"/>
  <c r="F50" i="21"/>
  <c r="G30" i="68"/>
  <c r="G33" i="68"/>
  <c r="G34" i="68"/>
  <c r="G36" i="68"/>
  <c r="F8" i="69"/>
  <c r="F11" i="69"/>
  <c r="F20" i="69"/>
  <c r="H35" i="68"/>
  <c r="F51" i="21"/>
  <c r="D153" i="85"/>
  <c r="E153" i="85"/>
  <c r="G153" i="85"/>
  <c r="C154" i="85"/>
  <c r="D154" i="85"/>
  <c r="E154" i="85"/>
  <c r="G154" i="85"/>
  <c r="C155" i="85"/>
  <c r="G80" i="29"/>
  <c r="H95" i="29"/>
  <c r="H98" i="29"/>
  <c r="H9" i="29"/>
  <c r="H14" i="29"/>
  <c r="G58" i="29"/>
  <c r="G63" i="29"/>
  <c r="G67" i="29"/>
  <c r="F37" i="69"/>
  <c r="F39" i="69"/>
  <c r="F41" i="69"/>
  <c r="F53" i="21"/>
  <c r="D155" i="85"/>
  <c r="E155" i="85"/>
  <c r="G155" i="85"/>
  <c r="C156" i="85"/>
  <c r="H99" i="29"/>
  <c r="D101" i="29"/>
  <c r="D32" i="62"/>
  <c r="G36" i="69"/>
  <c r="F43" i="69"/>
  <c r="F46" i="69"/>
  <c r="H15" i="29"/>
  <c r="D156" i="85"/>
  <c r="E156" i="85"/>
  <c r="G156" i="85"/>
  <c r="C157" i="85"/>
  <c r="D157" i="85"/>
  <c r="E157" i="85"/>
  <c r="G157" i="85"/>
  <c r="C158" i="85"/>
  <c r="D158" i="85"/>
  <c r="E158" i="85"/>
  <c r="G158" i="85"/>
  <c r="C159" i="85"/>
  <c r="D159" i="85"/>
  <c r="E159" i="85"/>
  <c r="G159" i="85"/>
  <c r="H47" i="85"/>
  <c r="H49" i="85"/>
  <c r="H273" i="85"/>
  <c r="H274" i="85"/>
  <c r="H278" i="85"/>
  <c r="B280" i="85"/>
  <c r="L33" i="62"/>
  <c r="H57" i="85"/>
  <c r="H60" i="85"/>
  <c r="H61" i="85"/>
  <c r="H50" i="85"/>
  <c r="H51" i="85"/>
  <c r="H219" i="85"/>
  <c r="H224" i="85"/>
  <c r="H228" i="85"/>
  <c r="B230" i="85"/>
  <c r="B234" i="85"/>
  <c r="L31" i="62"/>
  <c r="I170" i="85"/>
  <c r="I175" i="85"/>
  <c r="H241" i="85"/>
  <c r="B243" i="85"/>
  <c r="B246" i="85"/>
  <c r="L29" i="62"/>
  <c r="I256" i="85"/>
  <c r="I259" i="85"/>
  <c r="I260" i="85"/>
  <c r="I176" i="85"/>
  <c r="B177" i="85"/>
  <c r="C179" i="85"/>
  <c r="L30" i="62"/>
  <c r="D179" i="85"/>
  <c r="C180" i="85"/>
  <c r="E179" i="85"/>
  <c r="D180" i="85"/>
  <c r="F179" i="85"/>
  <c r="E180" i="85"/>
  <c r="G179" i="85"/>
  <c r="F180" i="85"/>
  <c r="H179" i="85"/>
  <c r="G180" i="85"/>
  <c r="I179" i="85"/>
  <c r="I180" i="85"/>
  <c r="H180" i="85"/>
  <c r="C181" i="85"/>
  <c r="E184" i="85"/>
  <c r="G47" i="21"/>
  <c r="G49" i="21"/>
  <c r="G31" i="69"/>
  <c r="G95" i="22"/>
  <c r="G98" i="22"/>
  <c r="G99" i="22"/>
  <c r="G50" i="21"/>
  <c r="H30" i="68"/>
  <c r="H33" i="68"/>
  <c r="H34" i="68"/>
  <c r="H36" i="68"/>
  <c r="G8" i="69"/>
  <c r="G11" i="69"/>
  <c r="G20" i="69"/>
  <c r="I35" i="68"/>
  <c r="G51" i="21"/>
  <c r="H58" i="29"/>
  <c r="H63" i="29"/>
  <c r="H67" i="29"/>
  <c r="H80" i="29"/>
  <c r="G37" i="69"/>
  <c r="G39" i="69"/>
  <c r="I9" i="29"/>
  <c r="I14" i="29"/>
  <c r="I95" i="29"/>
  <c r="I98" i="29"/>
  <c r="I99" i="29"/>
  <c r="G53" i="21"/>
  <c r="I15" i="29"/>
  <c r="H36" i="69"/>
  <c r="G41" i="69"/>
  <c r="G43" i="69"/>
  <c r="G46" i="69"/>
  <c r="D94" i="23"/>
  <c r="H47" i="21"/>
  <c r="H49" i="21"/>
  <c r="E94" i="23"/>
  <c r="C116" i="29"/>
  <c r="D33" i="62"/>
  <c r="H95" i="22"/>
  <c r="H98" i="22"/>
  <c r="H99" i="22"/>
  <c r="H50" i="21"/>
  <c r="I30" i="68"/>
  <c r="I33" i="68"/>
  <c r="I34" i="68"/>
  <c r="I36" i="68"/>
  <c r="H8" i="69"/>
  <c r="H11" i="69"/>
  <c r="H20" i="69"/>
  <c r="H51" i="21"/>
  <c r="I80" i="29"/>
  <c r="C82" i="29"/>
  <c r="C85" i="29"/>
  <c r="D29" i="62"/>
  <c r="J95" i="29"/>
  <c r="J98" i="29"/>
  <c r="J99" i="29"/>
  <c r="I58" i="29"/>
  <c r="I63" i="29"/>
  <c r="I67" i="29"/>
  <c r="C69" i="29"/>
  <c r="C73" i="29"/>
  <c r="D31" i="62"/>
  <c r="H37" i="69"/>
  <c r="H39" i="69"/>
  <c r="H41" i="69"/>
  <c r="H43" i="69"/>
  <c r="H46" i="69"/>
  <c r="J9" i="29"/>
  <c r="J14" i="29"/>
  <c r="H53" i="21"/>
  <c r="J15" i="29"/>
  <c r="C16" i="29"/>
  <c r="D18" i="29"/>
  <c r="D30" i="62"/>
  <c r="E18" i="29"/>
  <c r="D19" i="29"/>
  <c r="F18" i="29"/>
  <c r="E19" i="29"/>
  <c r="G18" i="29"/>
  <c r="F19" i="29"/>
  <c r="H18" i="29"/>
  <c r="G19" i="29"/>
  <c r="I18" i="29"/>
  <c r="H19" i="29"/>
  <c r="J18" i="29"/>
  <c r="J19" i="29"/>
  <c r="I19" i="29"/>
  <c r="D20" i="29"/>
  <c r="F23" i="29"/>
</calcChain>
</file>

<file path=xl/sharedStrings.xml><?xml version="1.0" encoding="utf-8"?>
<sst xmlns="http://schemas.openxmlformats.org/spreadsheetml/2006/main" count="1741" uniqueCount="789">
  <si>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</si>
  <si>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</si>
  <si>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</si>
  <si>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</si>
  <si>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</si>
  <si>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</si>
  <si>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</si>
  <si>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</si>
  <si>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</si>
  <si>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</si>
  <si>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</si>
  <si>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</si>
  <si>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</si>
  <si>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</si>
  <si>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</si>
  <si>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</si>
  <si>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</si>
  <si>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</si>
  <si>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</si>
  <si>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</si>
  <si>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</si>
  <si>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</si>
  <si>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</si>
  <si>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</si>
  <si>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</si>
  <si>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</si>
  <si>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</si>
  <si>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</si>
  <si>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</si>
  <si>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</si>
  <si>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</si>
  <si>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</si>
  <si>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</si>
  <si>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</si>
  <si>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</si>
  <si>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</si>
  <si>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</si>
  <si>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</si>
  <si>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</si>
  <si>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</si>
  <si>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</si>
  <si>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</si>
  <si>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</si>
  <si>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</si>
  <si>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</si>
  <si>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</si>
  <si>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</si>
  <si>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</si>
  <si>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</si>
  <si>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</si>
  <si>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</si>
  <si>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</si>
  <si>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</si>
  <si>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</si>
  <si>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</si>
  <si>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</si>
  <si>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</si>
  <si>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</si>
  <si>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</si>
  <si>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</si>
  <si>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</si>
  <si>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</si>
  <si>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</si>
  <si>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</si>
  <si>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</si>
  <si>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</si>
  <si>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</si>
  <si>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</si>
  <si>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</si>
  <si>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</si>
  <si>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</si>
  <si>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</si>
  <si>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</si>
  <si>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</si>
  <si>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</si>
  <si>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</si>
  <si>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</si>
  <si>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</si>
  <si>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</si>
  <si>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</si>
  <si>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</si>
  <si>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</si>
  <si>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</si>
  <si>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</si>
  <si>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</si>
  <si>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</si>
  <si>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</si>
  <si>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</si>
  <si>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</si>
  <si>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</si>
  <si>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</si>
  <si>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</si>
  <si>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</si>
  <si>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</si>
  <si>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</si>
  <si>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</si>
  <si>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</si>
  <si>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</si>
  <si>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</si>
  <si>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</si>
  <si>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</si>
  <si>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</si>
  <si>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</si>
  <si>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</si>
  <si>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</si>
  <si>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</si>
  <si>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</si>
  <si>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</si>
  <si>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</si>
  <si>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</si>
  <si>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</si>
  <si>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</si>
  <si>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</si>
  <si>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</si>
  <si>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</si>
  <si>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</si>
  <si>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</si>
  <si>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</si>
  <si>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</si>
  <si>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</si>
  <si>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</si>
  <si>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</si>
  <si>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</si>
  <si>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</si>
  <si>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</si>
  <si>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</si>
  <si>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</si>
  <si>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</si>
  <si>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</si>
  <si>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</si>
  <si>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</si>
  <si>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</si>
  <si>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</si>
  <si>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</si>
  <si>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</si>
  <si>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</si>
  <si>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</si>
  <si>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</si>
  <si>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</si>
  <si>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</si>
  <si>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</si>
  <si>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</si>
  <si>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</si>
  <si>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</si>
  <si>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</si>
  <si>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</si>
  <si>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</si>
  <si>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</si>
  <si>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</si>
  <si>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</si>
  <si>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</si>
  <si>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</si>
  <si>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</si>
  <si>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</si>
  <si>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</si>
  <si>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</si>
  <si>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</si>
  <si>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</si>
  <si>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</si>
  <si>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</si>
  <si>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</si>
  <si>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</si>
  <si>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</si>
  <si>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</si>
  <si>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</si>
  <si>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</si>
  <si>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</si>
  <si>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</si>
  <si>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</si>
  <si>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</si>
  <si>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</si>
  <si>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</si>
  <si>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</si>
  <si>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</si>
  <si>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</si>
  <si>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</si>
  <si>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</si>
  <si>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</si>
  <si>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</si>
  <si>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</si>
  <si>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</si>
  <si>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</si>
  <si>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</si>
  <si>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</si>
  <si>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</si>
  <si>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</si>
  <si>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</si>
  <si>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</si>
  <si>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</si>
  <si>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</si>
  <si>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</si>
  <si>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</si>
  <si>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</si>
  <si>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</si>
  <si>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</si>
  <si>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</si>
  <si>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</si>
  <si>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</si>
  <si>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</si>
  <si>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</si>
  <si>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</si>
  <si>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</si>
  <si>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</si>
  <si>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</si>
  <si>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</si>
  <si>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</si>
  <si>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</si>
  <si>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</si>
  <si>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</si>
  <si>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</si>
  <si>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</si>
  <si>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</si>
  <si>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</si>
  <si>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</si>
  <si>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</si>
  <si>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</si>
  <si>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</si>
  <si>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</si>
  <si>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</si>
  <si>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</si>
  <si>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</si>
  <si>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</si>
  <si>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</si>
  <si>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</si>
  <si>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</si>
  <si>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</si>
  <si>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</si>
  <si>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</si>
  <si>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</si>
  <si>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</si>
  <si>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</si>
  <si>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</si>
  <si>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</si>
  <si>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</si>
  <si>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</si>
  <si>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</si>
  <si>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</si>
  <si>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</si>
  <si>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</si>
  <si>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</si>
  <si>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</si>
  <si>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</si>
  <si>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</si>
  <si>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</si>
  <si>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</si>
  <si>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</si>
  <si>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</si>
  <si>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</si>
  <si>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</si>
  <si>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</si>
  <si>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</si>
  <si>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</si>
  <si>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</si>
  <si>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</si>
  <si>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</si>
  <si>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</si>
  <si>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</si>
  <si>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</si>
  <si>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</si>
  <si>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</si>
  <si>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</si>
  <si>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</si>
  <si>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</si>
  <si>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</si>
  <si>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</si>
  <si>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</si>
  <si>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</si>
  <si>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</si>
  <si>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</si>
  <si>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</si>
  <si>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</si>
  <si>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</si>
  <si>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</si>
  <si>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</si>
  <si>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</si>
  <si>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</si>
  <si>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</si>
  <si>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</si>
  <si>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</si>
  <si>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</si>
  <si>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</si>
  <si>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</si>
  <si>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</si>
  <si>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</si>
  <si>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</si>
  <si>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</si>
  <si>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</si>
  <si>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</si>
  <si>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</si>
  <si>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</si>
  <si>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</si>
  <si>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</si>
  <si>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</si>
  <si>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</si>
  <si>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</si>
  <si>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</si>
  <si>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</si>
  <si>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</si>
  <si>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</si>
  <si>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</si>
  <si>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</si>
  <si>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</si>
  <si>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</si>
  <si>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</si>
  <si>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</si>
  <si>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</si>
  <si>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</si>
  <si>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</si>
  <si>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</si>
  <si>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</si>
  <si>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</si>
  <si>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</si>
  <si>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</si>
  <si>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</si>
  <si>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</si>
  <si>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</si>
  <si>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</si>
  <si>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</si>
  <si>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</si>
  <si>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</si>
  <si>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</si>
  <si>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</si>
  <si>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</si>
  <si>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</si>
  <si>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</si>
  <si>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</si>
  <si>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</si>
  <si>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</si>
  <si>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</si>
  <si>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</si>
  <si>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</si>
  <si>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</si>
  <si>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</si>
  <si>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</si>
  <si>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</si>
  <si>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</si>
  <si>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</si>
  <si>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</si>
  <si>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</si>
  <si>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</si>
  <si>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</si>
  <si>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</si>
  <si>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</si>
  <si>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</si>
  <si>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</si>
  <si>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</si>
  <si>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</si>
  <si>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</si>
  <si>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</si>
  <si>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</si>
  <si>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</si>
  <si>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</si>
  <si>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</si>
  <si>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</si>
  <si>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</si>
  <si>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</si>
  <si>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</si>
  <si>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</si>
  <si>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</si>
  <si>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</si>
  <si>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</si>
  <si>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</si>
  <si>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</si>
  <si>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</si>
  <si>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</si>
  <si>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</si>
  <si>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</si>
  <si>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</si>
  <si>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</si>
  <si>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</si>
  <si>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</si>
  <si>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</si>
  <si>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</si>
  <si>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</si>
  <si>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</si>
  <si>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</si>
  <si>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</si>
  <si>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</si>
  <si>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</si>
  <si>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</si>
  <si>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</si>
  <si>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</si>
  <si>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</si>
  <si>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</si>
  <si>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</si>
  <si>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</si>
  <si>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</si>
  <si>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</si>
  <si>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</si>
  <si>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</si>
  <si>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</si>
  <si>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</si>
  <si>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</si>
  <si>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</si>
  <si>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</si>
  <si>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</si>
  <si>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</si>
  <si>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</si>
  <si>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</si>
  <si>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</si>
  <si>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</si>
  <si>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</si>
  <si>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</si>
  <si>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</si>
  <si>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</si>
  <si>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</si>
  <si>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</si>
  <si>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</si>
  <si>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</si>
  <si>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</si>
  <si>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</si>
  <si>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</si>
  <si>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</si>
  <si>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</si>
  <si>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</si>
  <si>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</si>
  <si>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</si>
  <si>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</si>
  <si>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</si>
  <si>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</si>
  <si>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</si>
  <si>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</si>
  <si>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Cultivator</t>
  </si>
  <si>
    <t>Rotavator</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</si>
  <si>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</si>
  <si>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</si>
  <si>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</si>
  <si>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</si>
  <si>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</si>
  <si>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</si>
  <si>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</si>
  <si>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</si>
  <si>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</si>
  <si>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</si>
  <si>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</si>
  <si>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</si>
  <si>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</si>
  <si>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</si>
  <si>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</si>
  <si>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</si>
  <si>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</si>
  <si>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</si>
  <si>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</si>
  <si>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</si>
  <si>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</si>
  <si>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</si>
  <si>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</si>
  <si>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</si>
  <si>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</si>
  <si>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</si>
  <si>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</si>
  <si>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</si>
  <si>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</si>
  <si>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</si>
  <si>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</si>
  <si>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</si>
  <si>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</si>
  <si>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</si>
  <si>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</si>
  <si>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</si>
  <si>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</si>
  <si>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</si>
  <si>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</si>
  <si>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</si>
  <si>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</si>
  <si>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</si>
  <si>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</si>
  <si>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</si>
  <si>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</si>
  <si>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</si>
  <si>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</si>
  <si>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</si>
  <si>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</si>
  <si>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</si>
  <si>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</si>
  <si>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</si>
  <si>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</si>
  <si>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</si>
  <si>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</si>
  <si>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</si>
  <si>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</si>
  <si>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</si>
  <si>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</si>
  <si>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</si>
  <si>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</si>
  <si>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</si>
  <si>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</si>
  <si>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</si>
  <si>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</si>
  <si>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</si>
  <si>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</si>
  <si>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</si>
  <si>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</si>
  <si>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</si>
  <si>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</si>
  <si>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</si>
  <si>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</si>
  <si>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</si>
  <si>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</si>
  <si>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</si>
  <si>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</si>
  <si>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</si>
  <si>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</si>
  <si>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</si>
  <si>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</si>
  <si>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</si>
  <si>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</si>
  <si>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</si>
  <si>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</si>
  <si>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</si>
  <si>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</si>
  <si>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</si>
  <si>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</si>
  <si>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</si>
  <si>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</si>
  <si>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</si>
  <si>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</si>
  <si>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</si>
  <si>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</si>
  <si>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</si>
  <si>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</si>
  <si>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</si>
  <si>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</si>
  <si>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</si>
  <si>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</si>
  <si>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</si>
  <si>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</si>
  <si>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</si>
  <si>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</si>
  <si>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</si>
  <si>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</si>
  <si>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</si>
  <si>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</si>
  <si>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</si>
  <si>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</si>
  <si>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</si>
  <si>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</si>
  <si>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</si>
  <si>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</si>
  <si>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</si>
  <si>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</si>
  <si>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</si>
  <si>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</si>
  <si>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</si>
  <si>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</si>
  <si>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</si>
  <si>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</si>
  <si>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</si>
  <si>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</si>
  <si>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</si>
  <si>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</si>
  <si>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</si>
  <si>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</si>
  <si>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</si>
  <si>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</si>
  <si>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</si>
  <si>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</si>
  <si>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</si>
  <si>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</si>
  <si>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</si>
  <si>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</si>
  <si>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</si>
  <si>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</si>
  <si>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</si>
  <si>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</si>
  <si>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</si>
  <si>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</si>
  <si>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</si>
  <si>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</si>
  <si>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</si>
  <si>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</si>
  <si>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</si>
  <si>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</si>
  <si>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</si>
  <si>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</si>
  <si>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</si>
  <si>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</si>
  <si>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</si>
  <si>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</si>
  <si>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</si>
  <si>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</si>
  <si>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</si>
  <si>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</si>
  <si>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</si>
  <si>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</si>
  <si>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</si>
  <si>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</si>
  <si>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</si>
  <si>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</si>
  <si>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</si>
  <si>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</si>
  <si>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</si>
  <si>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</si>
  <si>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</si>
  <si>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</si>
  <si>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</si>
  <si>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</si>
  <si>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</si>
  <si>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</si>
  <si>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</si>
  <si>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</si>
  <si>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</si>
  <si>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</si>
  <si>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</si>
  <si>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</si>
  <si>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</si>
  <si>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</si>
  <si>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</si>
  <si>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</si>
  <si>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</si>
  <si>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</si>
  <si>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</si>
  <si>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</si>
  <si>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</si>
  <si>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</si>
  <si>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</si>
  <si>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</si>
  <si>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</si>
  <si>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</si>
  <si>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</si>
  <si>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</si>
  <si>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</si>
  <si>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</si>
  <si>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</si>
  <si>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</si>
  <si>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</si>
  <si>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</si>
  <si>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</si>
  <si>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</si>
  <si>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</si>
  <si>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</si>
  <si>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</si>
  <si>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</si>
  <si>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</si>
  <si>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</si>
  <si>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</si>
  <si>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</si>
  <si>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</si>
  <si>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</si>
  <si>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</si>
  <si>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</si>
  <si>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</si>
  <si>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</si>
  <si>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</si>
  <si>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</si>
  <si>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</si>
  <si>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</si>
  <si>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</si>
  <si>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</si>
  <si>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</si>
  <si>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</si>
  <si>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</si>
  <si>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</si>
  <si>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</si>
  <si>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</si>
  <si>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</si>
  <si>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</si>
  <si>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</si>
  <si>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</si>
  <si>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</si>
  <si>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</si>
  <si>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</si>
  <si>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</si>
  <si>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</si>
  <si>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</si>
  <si>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</si>
  <si>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</si>
  <si>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</si>
  <si>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</si>
  <si>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</si>
  <si>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</si>
  <si>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</si>
  <si>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</si>
  <si>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</si>
  <si>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</si>
  <si>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</si>
  <si>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</si>
  <si>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</si>
  <si>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</si>
  <si>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</si>
  <si>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</si>
  <si>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</si>
  <si>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</si>
  <si>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</si>
  <si>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</si>
  <si>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</si>
  <si>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</si>
  <si>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</si>
  <si>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</si>
  <si>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</si>
  <si>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</si>
  <si>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</si>
  <si>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</si>
  <si>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</si>
  <si>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</si>
  <si>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</si>
  <si>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</si>
  <si>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</si>
  <si>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</si>
  <si>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</si>
  <si>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</si>
  <si>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</si>
  <si>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</si>
  <si>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</si>
  <si>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</si>
  <si>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60% </t>
  </si>
  <si>
    <t>Interest on Term loan &amp; WC</t>
  </si>
  <si>
    <t>VGF Purpose</t>
  </si>
  <si>
    <t>Bank Finance - Long Term Loan</t>
  </si>
  <si>
    <t xml:space="preserve">Own Contribution (= Total project cost-Govt. grant-bank finance) </t>
  </si>
  <si>
    <t xml:space="preserve">BEP shall be more than 50% </t>
  </si>
  <si>
    <t xml:space="preserve">The Pack Back Period (Project/ Equity) shall be less than 7 years </t>
  </si>
  <si>
    <t>No. of Hours in  day</t>
  </si>
  <si>
    <t>No. of Operational Days</t>
  </si>
  <si>
    <t>Capacity Utilization</t>
  </si>
  <si>
    <t>No. of operational days</t>
  </si>
  <si>
    <t>Total Material to be processed (In MT)</t>
  </si>
  <si>
    <t>Output- Quantity for sale (In MT)</t>
  </si>
  <si>
    <t>Oil Cake</t>
  </si>
  <si>
    <t>Oil</t>
  </si>
  <si>
    <t>packaging Exp- Oil Packaging</t>
  </si>
  <si>
    <t>Oil Cake Packlaging</t>
  </si>
  <si>
    <t>Combine Harvestor</t>
  </si>
  <si>
    <t>DPR Prepartion</t>
  </si>
  <si>
    <t>Civil Estimation Prepartion</t>
  </si>
  <si>
    <t>Packaging Expenses</t>
  </si>
  <si>
    <t>Driver for Tractors</t>
  </si>
  <si>
    <t>Rate/Unit</t>
  </si>
  <si>
    <t>Total Amount</t>
  </si>
  <si>
    <t xml:space="preserve">Pre-harvest </t>
  </si>
  <si>
    <t xml:space="preserve">B </t>
  </si>
  <si>
    <t>Post Harvest</t>
  </si>
  <si>
    <t>Others</t>
  </si>
  <si>
    <t>IT &amp; IT Infrastracture</t>
  </si>
  <si>
    <t>Preliminary/Preoperative Expenses</t>
  </si>
  <si>
    <t>Total*</t>
  </si>
  <si>
    <t>* Excluding Working Capital</t>
  </si>
  <si>
    <t>Sr. No</t>
  </si>
  <si>
    <t>Land (Acre)</t>
  </si>
  <si>
    <t>Productivity (ton)</t>
  </si>
  <si>
    <t>15-20</t>
  </si>
  <si>
    <t>Percentage%</t>
  </si>
  <si>
    <t>Lease</t>
  </si>
  <si>
    <t>MT/Hr</t>
  </si>
  <si>
    <t>wastage</t>
  </si>
  <si>
    <t>Ground Nut Seed</t>
  </si>
  <si>
    <t>Sunflower Seed</t>
  </si>
  <si>
    <t xml:space="preserve">Outword- Transportation Cost </t>
  </si>
  <si>
    <t>Machine Mainteance</t>
  </si>
  <si>
    <t>Inword-Transportation Charges</t>
  </si>
  <si>
    <t>Outword-Transportation Charges</t>
  </si>
  <si>
    <t>Output- Quantity for sale (In Liters)</t>
  </si>
  <si>
    <t>Oil Cake (In Kg)</t>
  </si>
  <si>
    <t>Total Material to be processed (In Kg)</t>
  </si>
  <si>
    <t>Input (In Kg)</t>
  </si>
  <si>
    <t>25 Litres</t>
  </si>
  <si>
    <t>Activity 2 - Cold Press Oil</t>
  </si>
  <si>
    <t>Operational days in a year (Days)</t>
  </si>
  <si>
    <t>Whole Year</t>
  </si>
  <si>
    <t>240 Days</t>
  </si>
  <si>
    <t>Job Work</t>
  </si>
  <si>
    <t>Job Work Charges</t>
  </si>
  <si>
    <t>Construction of Warehouse</t>
  </si>
  <si>
    <t>Construction of Cleaning &amp; Shed</t>
  </si>
  <si>
    <t>Cleaning &amp; Grading Machine</t>
  </si>
  <si>
    <t>Sq. Mtrs.</t>
  </si>
  <si>
    <t>Insurance</t>
  </si>
  <si>
    <t>Own Contribution (=Fixed Assets*10%)</t>
  </si>
  <si>
    <t>Activity 1 - Cleaning &amp; Grading</t>
  </si>
  <si>
    <t>Activity 2 - Warehouse</t>
  </si>
  <si>
    <t>Vertical Bucket Elevator</t>
  </si>
  <si>
    <t>Seed Grader/Fine Cleaner Alphard 3K</t>
  </si>
  <si>
    <t>Seed Gravity Separator</t>
  </si>
  <si>
    <t>Magnetic destonner (1200mm)</t>
  </si>
  <si>
    <t>STORAGE BIN (2 TONPERHOUR)</t>
  </si>
  <si>
    <t>SET OF SIEVES</t>
  </si>
  <si>
    <t>GRAVITY DECK</t>
  </si>
  <si>
    <t>3TPH</t>
  </si>
  <si>
    <t>Fright</t>
  </si>
  <si>
    <t>Installation</t>
  </si>
  <si>
    <t>GST @ 18%</t>
  </si>
  <si>
    <t>Solar</t>
  </si>
  <si>
    <t>10 KW Three-Phase Solar Grid Connected Proposal</t>
  </si>
  <si>
    <t>GST @ 12%</t>
  </si>
  <si>
    <t>Weighing Bridge</t>
  </si>
  <si>
    <t>Fully Weighing Bridge</t>
  </si>
  <si>
    <t>50/60 MT</t>
  </si>
  <si>
    <t>Construction of Warehouse (2000 MT)</t>
  </si>
  <si>
    <t>Construction of Cleaning &amp; Grading Shed, Raw Material Storage, Finished Goods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</si>
</sst>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sz val="10"/>
      <color theme="1"/>
      <name val="Times New Roman"/>
      <family val="1"/>
    </font>
    <font>
      <sz val="8"/>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43" fontId="18" fillId="0" borderId="0" applyFont="0" applyFill="0" applyBorder="0" applyAlignment="0" applyProtection="0"/>
  </cellStyleXfs>
  <cellXfs count="551">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171" fontId="4" fillId="0" borderId="1" xfId="10" applyNumberFormat="1" applyFont="1" applyFill="1" applyBorder="1"/>
    <xf numFmtId="0" fontId="6" fillId="0" borderId="1" xfId="0"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8" fillId="0" borderId="1" xfId="3" applyNumberFormat="1" applyFont="1" applyBorder="1"/>
    <xf numFmtId="169" fontId="27" fillId="0" borderId="1" xfId="0" applyNumberFormat="1" applyFont="1" applyBorder="1"/>
    <xf numFmtId="43"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12" fillId="6" borderId="1"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9"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4" fillId="0" borderId="1" xfId="0" applyFont="1" applyFill="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9" fontId="44" fillId="7" borderId="1" xfId="1" applyFont="1" applyFill="1" applyBorder="1" applyAlignment="1">
      <alignment horizontal="right" vertical="center" wrapText="1"/>
    </xf>
    <xf numFmtId="9" fontId="44" fillId="0"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27" fillId="0" borderId="0" xfId="0" applyNumberFormat="1" applyFont="1" applyFill="1" applyBorder="1"/>
    <xf numFmtId="10" fontId="4" fillId="0" borderId="0" xfId="1" applyNumberFormat="1" applyFont="1" applyFill="1" applyBorder="1"/>
    <xf numFmtId="0" fontId="27" fillId="0" borderId="1" xfId="0" applyFont="1" applyFill="1" applyBorder="1" applyAlignment="1">
      <alignment vertical="center" wrapText="1"/>
    </xf>
    <xf numFmtId="169" fontId="27" fillId="0" borderId="0" xfId="0" applyNumberFormat="1" applyFont="1"/>
    <xf numFmtId="0" fontId="27" fillId="0" borderId="14" xfId="0" applyFont="1" applyBorder="1"/>
    <xf numFmtId="169" fontId="27" fillId="6" borderId="14" xfId="2" applyNumberFormat="1" applyFont="1" applyFill="1" applyBorder="1"/>
    <xf numFmtId="169" fontId="27" fillId="0" borderId="14" xfId="2" applyNumberFormat="1" applyFont="1" applyBorder="1"/>
    <xf numFmtId="169" fontId="27" fillId="0" borderId="0" xfId="0" applyNumberFormat="1" applyFont="1" applyBorder="1"/>
    <xf numFmtId="9" fontId="44" fillId="0" borderId="1" xfId="1" applyFont="1" applyFill="1" applyBorder="1" applyAlignment="1">
      <alignment horizontal="right" vertical="center" wrapText="1"/>
    </xf>
    <xf numFmtId="0" fontId="0" fillId="0" borderId="2" xfId="0" applyFill="1" applyBorder="1"/>
    <xf numFmtId="0" fontId="51" fillId="0" borderId="0" xfId="0" applyFont="1" applyAlignment="1">
      <alignment horizontal="center" wrapText="1"/>
    </xf>
    <xf numFmtId="0" fontId="0" fillId="0" borderId="0" xfId="0" applyAlignment="1">
      <alignment horizontal="center"/>
    </xf>
    <xf numFmtId="38" fontId="14" fillId="0" borderId="0" xfId="0" applyNumberFormat="1" applyFont="1" applyAlignment="1">
      <alignment horizontal="left"/>
    </xf>
    <xf numFmtId="0" fontId="4" fillId="0" borderId="0" xfId="0" applyFont="1"/>
    <xf numFmtId="0" fontId="5" fillId="0" borderId="1" xfId="0" applyFont="1" applyBorder="1" applyAlignment="1">
      <alignment horizontal="center"/>
    </xf>
    <xf numFmtId="0" fontId="29" fillId="0" borderId="1" xfId="0" applyFont="1" applyBorder="1" applyAlignment="1">
      <alignment horizontal="center"/>
    </xf>
    <xf numFmtId="169" fontId="0" fillId="0" borderId="1" xfId="0" applyNumberFormat="1" applyBorder="1"/>
    <xf numFmtId="0" fontId="0" fillId="0" borderId="1" xfId="0" applyBorder="1" applyAlignment="1">
      <alignment horizontal="center" vertical="center"/>
    </xf>
    <xf numFmtId="0" fontId="44" fillId="0" borderId="1" xfId="0" applyFont="1" applyBorder="1" applyAlignment="1">
      <alignment horizontal="left" vertical="center" wrapText="1"/>
    </xf>
    <xf numFmtId="173" fontId="30" fillId="0" borderId="1" xfId="9" applyNumberFormat="1" applyFont="1" applyFill="1" applyBorder="1" applyAlignment="1">
      <alignment horizontal="right" vertical="center"/>
    </xf>
    <xf numFmtId="169" fontId="27" fillId="0" borderId="1" xfId="2" applyNumberFormat="1" applyFont="1" applyBorder="1" applyAlignment="1">
      <alignment horizontal="right"/>
    </xf>
    <xf numFmtId="2" fontId="28" fillId="0" borderId="0" xfId="0" applyNumberFormat="1" applyFont="1"/>
    <xf numFmtId="0" fontId="2" fillId="2" borderId="1" xfId="0" applyFont="1" applyFill="1" applyBorder="1"/>
    <xf numFmtId="0" fontId="2" fillId="2" borderId="1" xfId="0" applyFont="1" applyFill="1" applyBorder="1" applyAlignment="1">
      <alignment horizontal="center"/>
    </xf>
    <xf numFmtId="10" fontId="54" fillId="2" borderId="1" xfId="0" applyNumberFormat="1" applyFont="1" applyFill="1" applyBorder="1"/>
    <xf numFmtId="10" fontId="54" fillId="2" borderId="1" xfId="0" applyNumberFormat="1" applyFont="1" applyFill="1" applyBorder="1" applyAlignment="1">
      <alignment horizontal="center"/>
    </xf>
    <xf numFmtId="9" fontId="2" fillId="0" borderId="1" xfId="0" applyNumberFormat="1" applyFont="1" applyBorder="1"/>
    <xf numFmtId="167" fontId="0" fillId="0" borderId="1" xfId="3" applyNumberFormat="1" applyFont="1" applyBorder="1"/>
    <xf numFmtId="169" fontId="44" fillId="0" borderId="1" xfId="2"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9" fontId="0" fillId="0" borderId="1" xfId="1" applyFont="1" applyBorder="1"/>
    <xf numFmtId="10" fontId="0" fillId="0" borderId="1" xfId="1" applyNumberFormat="1" applyFont="1" applyBorder="1"/>
    <xf numFmtId="167" fontId="42" fillId="6" borderId="1" xfId="3" applyNumberFormat="1" applyFont="1" applyFill="1" applyBorder="1" applyAlignment="1">
      <alignment horizontal="center" vertical="center" wrapText="1"/>
    </xf>
    <xf numFmtId="167" fontId="0" fillId="0" borderId="1" xfId="0" applyNumberFormat="1" applyBorder="1"/>
    <xf numFmtId="0" fontId="40" fillId="2" borderId="1" xfId="0" applyFont="1" applyFill="1" applyBorder="1" applyAlignment="1">
      <alignment horizontal="center" vertical="center" wrapText="1"/>
    </xf>
    <xf numFmtId="10" fontId="0" fillId="0" borderId="1" xfId="1" applyNumberFormat="1" applyFont="1" applyBorder="1" applyAlignment="1">
      <alignment vertical="center"/>
    </xf>
    <xf numFmtId="0" fontId="29" fillId="0" borderId="1" xfId="0" applyFont="1" applyFill="1" applyBorder="1" applyAlignment="1">
      <alignmen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169" fontId="29" fillId="0" borderId="1" xfId="2" applyNumberFormat="1" applyFont="1" applyFill="1" applyBorder="1" applyAlignment="1">
      <alignment horizontal="left" vertical="center" wrapText="1"/>
    </xf>
    <xf numFmtId="169" fontId="29" fillId="0" borderId="1" xfId="2" applyNumberFormat="1" applyFont="1" applyFill="1" applyBorder="1" applyAlignment="1">
      <alignment vertical="center" wrapText="1"/>
    </xf>
    <xf numFmtId="169" fontId="29" fillId="0" borderId="1" xfId="2" applyNumberFormat="1" applyFont="1" applyFill="1" applyBorder="1" applyAlignment="1">
      <alignment horizontal="right" vertical="center" wrapText="1"/>
    </xf>
    <xf numFmtId="0" fontId="41" fillId="0" borderId="1" xfId="0" applyFont="1" applyFill="1" applyBorder="1" applyAlignment="1">
      <alignment horizontal="center" vertical="center" wrapText="1"/>
    </xf>
    <xf numFmtId="167" fontId="41" fillId="0" borderId="1" xfId="3" applyNumberFormat="1" applyFont="1" applyFill="1" applyBorder="1" applyAlignment="1">
      <alignment horizontal="right" vertical="center" wrapText="1"/>
    </xf>
    <xf numFmtId="0" fontId="42" fillId="0" borderId="1" xfId="0" applyFont="1" applyFill="1" applyBorder="1" applyAlignment="1">
      <alignment horizontal="center" vertical="center" wrapText="1"/>
    </xf>
    <xf numFmtId="0" fontId="2" fillId="0" borderId="1" xfId="0" applyFont="1" applyFill="1" applyBorder="1" applyAlignment="1">
      <alignment wrapText="1"/>
    </xf>
    <xf numFmtId="0" fontId="41" fillId="0" borderId="9" xfId="0" applyFont="1" applyFill="1" applyBorder="1" applyAlignment="1">
      <alignment horizontal="right" vertical="center" wrapText="1"/>
    </xf>
    <xf numFmtId="0" fontId="41" fillId="0" borderId="10" xfId="0" applyFont="1" applyFill="1" applyBorder="1" applyAlignment="1">
      <alignment vertical="center" wrapText="1"/>
    </xf>
    <xf numFmtId="167" fontId="41" fillId="0" borderId="10" xfId="3" applyNumberFormat="1" applyFont="1" applyFill="1" applyBorder="1" applyAlignment="1">
      <alignment horizontal="right" vertical="center" wrapText="1"/>
    </xf>
    <xf numFmtId="167" fontId="42" fillId="0" borderId="10" xfId="3" applyNumberFormat="1" applyFont="1" applyFill="1" applyBorder="1" applyAlignment="1">
      <alignment horizontal="right" vertical="center" wrapText="1"/>
    </xf>
    <xf numFmtId="169" fontId="2" fillId="0" borderId="1" xfId="2" applyNumberFormat="1" applyFont="1" applyBorder="1"/>
    <xf numFmtId="169" fontId="1" fillId="0" borderId="1" xfId="2" applyNumberFormat="1" applyFont="1" applyBorder="1"/>
    <xf numFmtId="169" fontId="28" fillId="0" borderId="1" xfId="2" applyNumberFormat="1" applyFont="1" applyFill="1" applyBorder="1"/>
    <xf numFmtId="167" fontId="28" fillId="0" borderId="1" xfId="0" applyNumberFormat="1" applyFont="1" applyFill="1" applyBorder="1"/>
    <xf numFmtId="169" fontId="0" fillId="0" borderId="1" xfId="2" applyNumberFormat="1" applyFont="1" applyFill="1" applyBorder="1"/>
    <xf numFmtId="169" fontId="27" fillId="0" borderId="1" xfId="0" applyNumberFormat="1" applyFont="1" applyFill="1" applyBorder="1"/>
    <xf numFmtId="2" fontId="27" fillId="0" borderId="1" xfId="0" applyNumberFormat="1" applyFont="1" applyFill="1" applyBorder="1"/>
    <xf numFmtId="0" fontId="28" fillId="0" borderId="1" xfId="0" applyFont="1" applyFill="1" applyBorder="1" applyAlignment="1">
      <alignment wrapText="1"/>
    </xf>
    <xf numFmtId="0" fontId="28" fillId="0" borderId="0" xfId="0" applyFont="1" applyFill="1"/>
    <xf numFmtId="0" fontId="27" fillId="0" borderId="0" xfId="0" applyFont="1" applyFill="1"/>
    <xf numFmtId="9" fontId="27" fillId="0" borderId="1" xfId="1" applyFont="1" applyFill="1" applyBorder="1"/>
    <xf numFmtId="169" fontId="0" fillId="0" borderId="1" xfId="0" applyNumberFormat="1" applyFill="1" applyBorder="1"/>
    <xf numFmtId="43" fontId="0" fillId="0" borderId="1" xfId="0" applyNumberFormat="1" applyFill="1" applyBorder="1"/>
    <xf numFmtId="0" fontId="11" fillId="5" borderId="8" xfId="0" applyFont="1" applyFill="1" applyBorder="1" applyAlignment="1">
      <alignment vertical="center"/>
    </xf>
    <xf numFmtId="0" fontId="11" fillId="5" borderId="4" xfId="0" applyFont="1" applyFill="1" applyBorder="1" applyAlignment="1">
      <alignment vertical="center"/>
    </xf>
    <xf numFmtId="0" fontId="12" fillId="0" borderId="10" xfId="0" applyFont="1" applyBorder="1" applyAlignment="1">
      <alignment vertical="center"/>
    </xf>
    <xf numFmtId="0" fontId="12" fillId="0" borderId="9" xfId="0" applyFont="1" applyBorder="1" applyAlignment="1">
      <alignment horizontal="right" vertical="center"/>
    </xf>
    <xf numFmtId="0" fontId="12" fillId="0" borderId="10" xfId="0" applyFont="1" applyBorder="1" applyAlignment="1">
      <alignment horizontal="center" vertical="center"/>
    </xf>
    <xf numFmtId="0" fontId="13" fillId="0" borderId="9" xfId="0" applyFont="1" applyBorder="1" applyAlignment="1">
      <alignment vertical="center"/>
    </xf>
    <xf numFmtId="0" fontId="13" fillId="0" borderId="10" xfId="0" applyFont="1" applyBorder="1" applyAlignment="1">
      <alignment vertical="center"/>
    </xf>
    <xf numFmtId="0" fontId="67" fillId="0" borderId="10" xfId="0" applyFont="1" applyBorder="1"/>
    <xf numFmtId="0" fontId="67" fillId="0" borderId="10" xfId="0" applyFont="1" applyBorder="1" applyAlignment="1">
      <alignment horizontal="center"/>
    </xf>
    <xf numFmtId="169" fontId="29" fillId="0" borderId="20" xfId="2" applyNumberFormat="1" applyFont="1" applyFill="1" applyBorder="1" applyAlignment="1">
      <alignment vertical="center" wrapText="1"/>
    </xf>
    <xf numFmtId="169" fontId="29" fillId="0" borderId="14" xfId="2" applyNumberFormat="1" applyFont="1" applyFill="1" applyBorder="1" applyAlignment="1">
      <alignment vertical="center" wrapText="1"/>
    </xf>
    <xf numFmtId="0" fontId="41" fillId="0" borderId="23" xfId="0" applyFont="1" applyFill="1" applyBorder="1" applyAlignment="1">
      <alignment horizontal="right" vertical="center" wrapText="1"/>
    </xf>
    <xf numFmtId="169" fontId="2" fillId="0" borderId="1" xfId="0" applyNumberFormat="1" applyFont="1" applyBorder="1"/>
    <xf numFmtId="0" fontId="0" fillId="0" borderId="1" xfId="0" applyBorder="1" applyAlignment="1"/>
    <xf numFmtId="0" fontId="12" fillId="0" borderId="9" xfId="0" applyFont="1" applyBorder="1" applyAlignment="1">
      <alignment horizontal="left" vertical="center"/>
    </xf>
    <xf numFmtId="0" fontId="13" fillId="0" borderId="9" xfId="0" applyFont="1" applyBorder="1" applyAlignment="1">
      <alignment horizontal="right" vertical="center"/>
    </xf>
    <xf numFmtId="0" fontId="13" fillId="0" borderId="9" xfId="0" applyFont="1" applyBorder="1" applyAlignment="1">
      <alignment horizontal="left" vertical="center"/>
    </xf>
    <xf numFmtId="10" fontId="27" fillId="6" borderId="1" xfId="2" applyNumberFormat="1" applyFont="1" applyFill="1" applyBorder="1"/>
    <xf numFmtId="171" fontId="27" fillId="0" borderId="1" xfId="0" applyNumberFormat="1" applyFont="1" applyFill="1" applyBorder="1"/>
    <xf numFmtId="1" fontId="27" fillId="7" borderId="0" xfId="0" applyNumberFormat="1" applyFont="1" applyFill="1"/>
    <xf numFmtId="171" fontId="27" fillId="0" borderId="0" xfId="0" applyNumberFormat="1" applyFont="1"/>
    <xf numFmtId="169" fontId="0" fillId="0" borderId="2" xfId="2" applyNumberFormat="1" applyFont="1" applyFill="1" applyBorder="1"/>
    <xf numFmtId="0" fontId="61" fillId="10" borderId="1" xfId="0" applyFont="1" applyFill="1" applyBorder="1" applyAlignment="1">
      <alignment horizontal="left" vertical="center" wrapText="1"/>
    </xf>
    <xf numFmtId="0" fontId="62"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59" fillId="0" borderId="1" xfId="0" applyFont="1" applyBorder="1" applyAlignment="1">
      <alignment horizontal="center" vertical="center" wrapText="1"/>
    </xf>
    <xf numFmtId="0" fontId="2" fillId="0" borderId="0" xfId="0" applyFont="1" applyAlignment="1">
      <alignment horizontal="center"/>
    </xf>
    <xf numFmtId="0" fontId="26" fillId="0" borderId="0" xfId="0" applyFont="1" applyAlignment="1">
      <alignment horizontal="center"/>
    </xf>
    <xf numFmtId="0" fontId="51" fillId="0" borderId="0" xfId="0" applyFont="1" applyAlignment="1">
      <alignment horizontal="center" wrapText="1"/>
    </xf>
    <xf numFmtId="0" fontId="26" fillId="0" borderId="0" xfId="0" applyFont="1" applyBorder="1" applyAlignment="1">
      <alignment horizontal="center"/>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horizontal="center" vertical="center" wrapText="1"/>
    </xf>
    <xf numFmtId="0" fontId="2" fillId="0" borderId="1" xfId="0" applyFont="1" applyFill="1" applyBorder="1" applyAlignment="1">
      <alignment horizontal="center" wrapText="1"/>
    </xf>
    <xf numFmtId="0" fontId="42" fillId="0" borderId="3"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53" fillId="0" borderId="0" xfId="0" applyFont="1" applyAlignment="1">
      <alignment horizontal="left" wrapText="1"/>
    </xf>
    <xf numFmtId="0" fontId="2" fillId="7" borderId="0" xfId="0" applyFont="1" applyFill="1" applyAlignment="1">
      <alignment horizontal="center"/>
    </xf>
    <xf numFmtId="0" fontId="42" fillId="6" borderId="15"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0" fillId="0" borderId="1" xfId="0" applyBorder="1" applyAlignment="1">
      <alignment horizontal="center"/>
    </xf>
    <xf numFmtId="10" fontId="0" fillId="0" borderId="1" xfId="1" applyNumberFormat="1" applyFont="1" applyBorder="1" applyAlignment="1">
      <alignment horizontal="center" vertic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3" fillId="0" borderId="0" xfId="0" applyFont="1" applyAlignment="1">
      <alignment horizont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 fillId="0" borderId="0" xfId="0" applyFont="1" applyFill="1" applyAlignment="1">
      <alignment horizontal="center"/>
    </xf>
    <xf numFmtId="0" fontId="26" fillId="0" borderId="0" xfId="0" applyFont="1" applyFill="1" applyBorder="1" applyAlignment="1">
      <alignment horizontal="center"/>
    </xf>
    <xf numFmtId="0" fontId="37" fillId="0" borderId="0" xfId="6" applyFont="1" applyAlignment="1">
      <alignment horizontal="center"/>
    </xf>
    <xf numFmtId="4" fontId="4" fillId="0" borderId="0" xfId="0" applyNumberFormat="1" applyFont="1" applyAlignment="1">
      <alignment horizontal="center"/>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5">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pc\c\Documents%20and%20Settings\a.s.daga\My%20Documents\Charbhuja%20Trading%20&amp;%20Agencies%20Pvt%20Ltd\Project%20Report\Project%20Report\Copy%20of%20Project%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pserver\my%20documents\A.S.Daga%20&amp;%20Co\Wadhwani%20Cold%20Storage%20&amp;%20Ice%20Plant%20(P)%20Ltd\NEW%20PLANT%20PROJECT\Project%20Report%20(Cold%20Storage)%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khil/Desktop/VISHVJEET/Vishwajeet/Vishvjeet/Vishu/Seed%20Processing/Pariwart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SERVER\My%20Documents\A.S.Daga%20&amp;%20Co\Dhanashrimata%20Agro%20Farm%20Pvt.%20%20Ltd\Project%20Report%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ance"/>
      <sheetName val="Balance Sheet"/>
      <sheetName val="Profit"/>
      <sheetName val="IRR"/>
      <sheetName val="Cash Flow"/>
      <sheetName val="SALES"/>
      <sheetName val="Raw Mt. Cons"/>
      <sheetName val="Labour"/>
      <sheetName val="Power"/>
      <sheetName val="Cl Stock FG"/>
      <sheetName val="Stores"/>
      <sheetName val="Steam"/>
      <sheetName val="Chemicals"/>
      <sheetName val="Other Mfg Exp"/>
      <sheetName val="Repaira &amp; Maintainance"/>
      <sheetName val="Drums"/>
      <sheetName val="Clearing"/>
      <sheetName val="Interest "/>
      <sheetName val="Depriciation"/>
      <sheetName val="MPBF"/>
      <sheetName val="Ratios"/>
      <sheetName val="Turnover Ratio"/>
      <sheetName val="ISCR"/>
      <sheetName val="DSCR"/>
      <sheetName val="Debt Equity"/>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Glance"/>
      <sheetName val="Balance Sheet"/>
      <sheetName val="Profit"/>
      <sheetName val="Cash Flow"/>
      <sheetName val="Sales"/>
      <sheetName val="Labour charges"/>
      <sheetName val="Admin Exp"/>
      <sheetName val="Salary Expenses"/>
      <sheetName val="Power"/>
      <sheetName val="Depriciation"/>
      <sheetName val="Interest TL"/>
      <sheetName val="ISCR"/>
      <sheetName val="DSCR"/>
      <sheetName val="MPBF"/>
      <sheetName val="BEP"/>
      <sheetName val="IRR"/>
      <sheetName val="Debt Equity"/>
      <sheetName val="Turnover Ratio"/>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Glance"/>
      <sheetName val="Balance Sheet"/>
      <sheetName val="Profit"/>
      <sheetName val="Exp"/>
      <sheetName val="Ratios"/>
      <sheetName val="Cash Flow"/>
      <sheetName val="Output-Breeder"/>
      <sheetName val="Output-Foundation"/>
      <sheetName val="Closing Stock R.M"/>
      <sheetName val="Closing Stock F.G"/>
      <sheetName val="Sales"/>
      <sheetName val="Purchases"/>
      <sheetName val="Interest "/>
      <sheetName val="Depreciation"/>
      <sheetName val="DSCR"/>
      <sheetName val="MPBF"/>
      <sheetName val="Debt Equity"/>
      <sheetName val="ISCR"/>
      <sheetName val="IRR"/>
      <sheetName val="Turnover Ratio"/>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
      <sheetName val="Glance"/>
      <sheetName val="Balance Sheet"/>
      <sheetName val="Profit"/>
      <sheetName val="Cash Flow"/>
      <sheetName val="Cost of Production"/>
      <sheetName val="Cl Stock"/>
      <sheetName val="Salary"/>
      <sheetName val="Other Indirect Expenses"/>
      <sheetName val="Interest "/>
      <sheetName val="Depriciation"/>
      <sheetName val="DSCR"/>
      <sheetName val="ISCR"/>
      <sheetName val="Ratios"/>
      <sheetName val="Debt Equity"/>
      <sheetName val="Ratio Summary"/>
      <sheetName val="IRR"/>
      <sheetName val="Turnover Ratio"/>
      <sheetName val="BEP"/>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37"/>
  <sheetViews>
    <sheetView view="pageBreakPreview" topLeftCell="A31" zoomScale="60" zoomScaleNormal="100" workbookViewId="0">
      <selection activeCell="C37" sqref="C37"/>
    </sheetView>
  </sheetViews>
  <sheetFormatPr defaultColWidth="9.1796875" defaultRowHeight="14.5"/>
  <cols>
    <col min="1" max="1" width="12.81640625" style="355" customWidth="1"/>
    <col min="2" max="2" width="56" style="355" customWidth="1"/>
    <col min="3" max="3" width="31.453125" style="355" customWidth="1"/>
    <col min="4" max="4" width="26.453125" style="355" customWidth="1"/>
    <col min="5" max="5" width="29.453125" style="355" customWidth="1"/>
    <col min="6" max="16384" width="9.1796875" style="355"/>
  </cols>
  <sheetData>
    <row r="2" spans="1:5" ht="26.25" customHeight="1">
      <c r="A2" s="455" t="s">
        <v>637</v>
      </c>
      <c r="B2" s="455"/>
      <c r="C2" s="455"/>
      <c r="D2" s="455"/>
      <c r="E2" s="455"/>
    </row>
    <row r="3" spans="1:5" ht="26.25" customHeight="1">
      <c r="A3" s="456" t="s">
        <v>633</v>
      </c>
      <c r="B3" s="456"/>
      <c r="C3" s="456"/>
      <c r="D3" s="456"/>
      <c r="E3" s="456"/>
    </row>
    <row r="4" spans="1:5" ht="23.25" customHeight="1">
      <c r="A4" s="454" t="s">
        <v>604</v>
      </c>
      <c r="B4" s="454"/>
      <c r="C4" s="454"/>
      <c r="D4" s="454"/>
      <c r="E4" s="454"/>
    </row>
    <row r="5" spans="1:5" ht="240.75" customHeight="1">
      <c r="A5" s="457" t="s">
        <v>638</v>
      </c>
      <c r="B5" s="457"/>
      <c r="C5" s="457"/>
      <c r="D5" s="457"/>
      <c r="E5" s="457"/>
    </row>
    <row r="6" spans="1:5" ht="23.25" customHeight="1">
      <c r="A6" s="454" t="s">
        <v>605</v>
      </c>
      <c r="B6" s="454"/>
      <c r="C6" s="454"/>
      <c r="D6" s="454"/>
      <c r="E6" s="454"/>
    </row>
    <row r="7" spans="1:5" ht="108" customHeight="1">
      <c r="A7" s="464" t="s">
        <v>673</v>
      </c>
      <c r="B7" s="465"/>
      <c r="C7" s="465"/>
      <c r="D7" s="465"/>
      <c r="E7" s="466"/>
    </row>
    <row r="8" spans="1:5" ht="23.25" customHeight="1">
      <c r="A8" s="467" t="s">
        <v>639</v>
      </c>
      <c r="B8" s="467"/>
      <c r="C8" s="467"/>
      <c r="D8" s="467"/>
      <c r="E8" s="467"/>
    </row>
    <row r="9" spans="1:5" ht="105.75" customHeight="1">
      <c r="A9" s="457" t="s">
        <v>677</v>
      </c>
      <c r="B9" s="457"/>
      <c r="C9" s="457"/>
      <c r="D9" s="457"/>
      <c r="E9" s="457"/>
    </row>
    <row r="10" spans="1:5" ht="23.5">
      <c r="A10" s="454" t="s">
        <v>631</v>
      </c>
      <c r="B10" s="454"/>
      <c r="C10" s="454"/>
      <c r="D10" s="454"/>
      <c r="E10" s="454"/>
    </row>
    <row r="11" spans="1:5">
      <c r="A11" s="355" t="s">
        <v>629</v>
      </c>
      <c r="B11" s="355" t="s">
        <v>151</v>
      </c>
    </row>
    <row r="12" spans="1:5" ht="20.25" customHeight="1">
      <c r="A12" s="359"/>
      <c r="B12" s="468" t="s">
        <v>395</v>
      </c>
      <c r="C12" s="469"/>
      <c r="D12" s="469"/>
      <c r="E12" s="470"/>
    </row>
    <row r="13" spans="1:5">
      <c r="A13" s="360"/>
      <c r="B13" s="458" t="s">
        <v>396</v>
      </c>
      <c r="C13" s="458"/>
      <c r="D13" s="458"/>
      <c r="E13" s="458"/>
    </row>
    <row r="14" spans="1:5" s="363" customFormat="1">
      <c r="A14" s="459"/>
      <c r="B14" s="459"/>
      <c r="C14" s="459"/>
      <c r="D14" s="459"/>
      <c r="E14" s="460"/>
    </row>
    <row r="15" spans="1:5" ht="23.5">
      <c r="A15" s="454" t="s">
        <v>632</v>
      </c>
      <c r="B15" s="454"/>
      <c r="C15" s="454"/>
      <c r="D15" s="454"/>
      <c r="E15" s="454"/>
    </row>
    <row r="16" spans="1:5">
      <c r="A16" s="356" t="s">
        <v>606</v>
      </c>
      <c r="B16" s="356" t="s">
        <v>640</v>
      </c>
      <c r="C16" s="356" t="s">
        <v>445</v>
      </c>
      <c r="D16" s="356" t="s">
        <v>607</v>
      </c>
      <c r="E16" s="356" t="s">
        <v>608</v>
      </c>
    </row>
    <row r="17" spans="1:5">
      <c r="A17" s="364" t="s">
        <v>173</v>
      </c>
      <c r="B17" s="364" t="s">
        <v>641</v>
      </c>
      <c r="C17" s="364"/>
      <c r="D17" s="364"/>
      <c r="E17" s="364"/>
    </row>
    <row r="18" spans="1:5" ht="43.5">
      <c r="A18" s="365" t="s">
        <v>609</v>
      </c>
      <c r="B18" s="357" t="s">
        <v>610</v>
      </c>
      <c r="C18" s="357" t="s">
        <v>674</v>
      </c>
      <c r="D18" s="357" t="s">
        <v>642</v>
      </c>
      <c r="E18" s="357"/>
    </row>
    <row r="19" spans="1:5" ht="58">
      <c r="A19" s="365" t="s">
        <v>611</v>
      </c>
      <c r="B19" s="357" t="s">
        <v>612</v>
      </c>
      <c r="C19" s="357" t="s">
        <v>675</v>
      </c>
      <c r="D19" s="357" t="s">
        <v>643</v>
      </c>
      <c r="E19" s="357"/>
    </row>
    <row r="20" spans="1:5" ht="36" customHeight="1">
      <c r="A20" s="365" t="s">
        <v>613</v>
      </c>
      <c r="B20" s="358" t="s">
        <v>634</v>
      </c>
      <c r="C20" s="357" t="s">
        <v>644</v>
      </c>
      <c r="D20" s="357" t="s">
        <v>645</v>
      </c>
      <c r="E20" s="357" t="s">
        <v>635</v>
      </c>
    </row>
    <row r="21" spans="1:5" ht="29">
      <c r="A21" s="365" t="s">
        <v>615</v>
      </c>
      <c r="B21" s="357" t="s">
        <v>676</v>
      </c>
      <c r="C21" s="357"/>
      <c r="D21" s="357"/>
      <c r="E21" s="357"/>
    </row>
    <row r="22" spans="1:5">
      <c r="A22" s="357">
        <v>4.0999999999999996</v>
      </c>
      <c r="B22" s="357" t="s">
        <v>616</v>
      </c>
      <c r="C22" s="461" t="s">
        <v>646</v>
      </c>
      <c r="D22" s="357" t="s">
        <v>647</v>
      </c>
      <c r="E22" s="357"/>
    </row>
    <row r="23" spans="1:5">
      <c r="A23" s="357">
        <v>4.2</v>
      </c>
      <c r="B23" s="357" t="s">
        <v>617</v>
      </c>
      <c r="C23" s="462"/>
      <c r="D23" s="357" t="s">
        <v>648</v>
      </c>
      <c r="E23" s="357"/>
    </row>
    <row r="24" spans="1:5">
      <c r="A24" s="357">
        <v>4.3</v>
      </c>
      <c r="B24" s="357" t="s">
        <v>618</v>
      </c>
      <c r="C24" s="462"/>
      <c r="D24" s="357" t="s">
        <v>649</v>
      </c>
      <c r="E24" s="357"/>
    </row>
    <row r="25" spans="1:5">
      <c r="A25" s="357">
        <v>4.4000000000000004</v>
      </c>
      <c r="B25" s="357" t="s">
        <v>619</v>
      </c>
      <c r="C25" s="462"/>
      <c r="D25" s="357" t="s">
        <v>650</v>
      </c>
      <c r="E25" s="357"/>
    </row>
    <row r="26" spans="1:5">
      <c r="A26" s="357">
        <v>4.5</v>
      </c>
      <c r="B26" s="357" t="s">
        <v>620</v>
      </c>
      <c r="C26" s="462"/>
      <c r="D26" s="357" t="s">
        <v>651</v>
      </c>
      <c r="E26" s="357"/>
    </row>
    <row r="27" spans="1:5">
      <c r="A27" s="357">
        <v>4.5999999999999996</v>
      </c>
      <c r="B27" s="357" t="s">
        <v>621</v>
      </c>
      <c r="C27" s="463"/>
      <c r="D27" s="357" t="s">
        <v>652</v>
      </c>
      <c r="E27" s="357"/>
    </row>
    <row r="28" spans="1:5" ht="43.5">
      <c r="A28" s="365" t="s">
        <v>622</v>
      </c>
      <c r="B28" s="357" t="s">
        <v>614</v>
      </c>
      <c r="C28" s="357" t="s">
        <v>653</v>
      </c>
      <c r="D28" s="357" t="s">
        <v>678</v>
      </c>
      <c r="E28" s="357"/>
    </row>
    <row r="29" spans="1:5" ht="43.5">
      <c r="A29" s="365" t="s">
        <v>623</v>
      </c>
      <c r="B29" s="357" t="s">
        <v>654</v>
      </c>
      <c r="C29" s="357" t="s">
        <v>655</v>
      </c>
      <c r="D29" s="357" t="s">
        <v>656</v>
      </c>
      <c r="E29" s="357"/>
    </row>
    <row r="30" spans="1:5" ht="29">
      <c r="A30" s="365" t="s">
        <v>630</v>
      </c>
      <c r="B30" s="357" t="s">
        <v>624</v>
      </c>
      <c r="C30" s="357" t="s">
        <v>657</v>
      </c>
      <c r="D30" s="357" t="s">
        <v>658</v>
      </c>
      <c r="E30" s="357"/>
    </row>
    <row r="31" spans="1:5">
      <c r="A31" s="364" t="s">
        <v>174</v>
      </c>
      <c r="B31" s="366" t="s">
        <v>659</v>
      </c>
      <c r="C31" s="364"/>
      <c r="D31" s="364"/>
      <c r="E31" s="364"/>
    </row>
    <row r="32" spans="1:5" ht="26.25" customHeight="1">
      <c r="A32" s="367" t="s">
        <v>660</v>
      </c>
      <c r="B32" s="357" t="s">
        <v>625</v>
      </c>
      <c r="C32" s="357"/>
      <c r="D32" s="357" t="s">
        <v>661</v>
      </c>
      <c r="E32" s="357" t="s">
        <v>635</v>
      </c>
    </row>
    <row r="33" spans="1:5">
      <c r="A33" s="367" t="s">
        <v>662</v>
      </c>
      <c r="B33" s="357" t="s">
        <v>626</v>
      </c>
      <c r="C33" s="357"/>
      <c r="D33" s="357" t="s">
        <v>663</v>
      </c>
      <c r="E33" s="357" t="s">
        <v>635</v>
      </c>
    </row>
    <row r="34" spans="1:5">
      <c r="A34" s="367" t="s">
        <v>664</v>
      </c>
      <c r="B34" s="357" t="s">
        <v>627</v>
      </c>
      <c r="C34" s="357"/>
      <c r="D34" s="357" t="s">
        <v>665</v>
      </c>
      <c r="E34" s="357" t="s">
        <v>635</v>
      </c>
    </row>
    <row r="35" spans="1:5" ht="35.25" customHeight="1">
      <c r="A35" s="367" t="s">
        <v>666</v>
      </c>
      <c r="B35" s="357" t="s">
        <v>628</v>
      </c>
      <c r="C35" s="357"/>
      <c r="D35" s="357" t="s">
        <v>667</v>
      </c>
      <c r="E35" s="357" t="s">
        <v>635</v>
      </c>
    </row>
    <row r="36" spans="1:5" ht="35.25" customHeight="1">
      <c r="A36" s="367" t="s">
        <v>668</v>
      </c>
      <c r="B36" s="357" t="s">
        <v>669</v>
      </c>
      <c r="C36" s="357"/>
      <c r="D36" s="357" t="s">
        <v>670</v>
      </c>
      <c r="E36" s="357" t="s">
        <v>635</v>
      </c>
    </row>
    <row r="37" spans="1:5">
      <c r="A37" s="365" t="s">
        <v>671</v>
      </c>
      <c r="B37" s="357" t="s">
        <v>672</v>
      </c>
      <c r="C37" s="357"/>
      <c r="D37" s="357"/>
      <c r="E37" s="357"/>
    </row>
  </sheetData>
  <mergeCells count="14">
    <mergeCell ref="B13:E13"/>
    <mergeCell ref="A14:E14"/>
    <mergeCell ref="A15:E15"/>
    <mergeCell ref="C22:C27"/>
    <mergeCell ref="A7:E7"/>
    <mergeCell ref="A8:E8"/>
    <mergeCell ref="A9:E9"/>
    <mergeCell ref="A10:E10"/>
    <mergeCell ref="B12:E12"/>
    <mergeCell ref="A6:E6"/>
    <mergeCell ref="A2:E2"/>
    <mergeCell ref="A3:E3"/>
    <mergeCell ref="A4:E4"/>
    <mergeCell ref="A5:E5"/>
  </mergeCells>
  <pageMargins left="0.7" right="0.7" top="0.75" bottom="0.75" header="0.3" footer="0.3"/>
  <pageSetup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4"/>
  <sheetViews>
    <sheetView view="pageBreakPreview" topLeftCell="A28" zoomScale="80" zoomScaleSheetLayoutView="80" workbookViewId="0">
      <selection activeCell="A4" sqref="A4:I36"/>
    </sheetView>
  </sheetViews>
  <sheetFormatPr defaultRowHeight="14.5"/>
  <cols>
    <col min="1" max="1" width="3.54296875" bestFit="1" customWidth="1"/>
    <col min="2" max="2" width="35.7265625" bestFit="1" customWidth="1"/>
    <col min="3" max="3" width="15.54296875" customWidth="1"/>
    <col min="4" max="4" width="15.7265625" customWidth="1"/>
    <col min="5" max="5" width="14.54296875" customWidth="1"/>
    <col min="6" max="6" width="14.7265625" customWidth="1"/>
    <col min="7" max="7" width="18.81640625" customWidth="1"/>
    <col min="8" max="9" width="14.81640625" bestFit="1" customWidth="1"/>
  </cols>
  <sheetData>
    <row r="1" spans="1:10">
      <c r="A1" s="489"/>
      <c r="B1" s="489"/>
      <c r="C1" s="489"/>
      <c r="D1" s="489"/>
      <c r="E1" s="489"/>
      <c r="F1" s="489"/>
      <c r="G1" s="489"/>
    </row>
    <row r="2" spans="1:10" ht="17.5">
      <c r="A2" s="475" t="s">
        <v>558</v>
      </c>
      <c r="B2" s="475"/>
      <c r="C2" s="475"/>
      <c r="D2" s="475"/>
      <c r="E2" s="475"/>
      <c r="F2" s="475"/>
      <c r="G2" s="475"/>
      <c r="H2" s="475"/>
      <c r="I2" s="475"/>
      <c r="J2" s="81"/>
    </row>
    <row r="4" spans="1:10">
      <c r="A4" s="58" t="s">
        <v>228</v>
      </c>
      <c r="B4" s="58" t="s">
        <v>0</v>
      </c>
      <c r="C4" s="59" t="s">
        <v>2</v>
      </c>
      <c r="D4" s="59" t="s">
        <v>3</v>
      </c>
      <c r="E4" s="59" t="s">
        <v>4</v>
      </c>
      <c r="F4" s="59" t="s">
        <v>5</v>
      </c>
      <c r="G4" s="59" t="s">
        <v>6</v>
      </c>
      <c r="H4" s="59" t="s">
        <v>169</v>
      </c>
      <c r="I4" s="59" t="s">
        <v>168</v>
      </c>
    </row>
    <row r="5" spans="1:10">
      <c r="A5" s="40">
        <v>1</v>
      </c>
      <c r="B5" s="40" t="s">
        <v>360</v>
      </c>
      <c r="C5" s="41"/>
      <c r="D5" s="41"/>
      <c r="E5" s="41"/>
      <c r="F5" s="41"/>
      <c r="G5" s="41"/>
      <c r="H5" s="41"/>
      <c r="I5" s="41"/>
    </row>
    <row r="6" spans="1:10">
      <c r="A6" s="40"/>
      <c r="B6" s="42" t="s">
        <v>360</v>
      </c>
      <c r="C6" s="41">
        <f>'6.Cons Profit &amp; Loss'!B15</f>
        <v>60806886.999999993</v>
      </c>
      <c r="D6" s="41">
        <f>'6.Cons Profit &amp; Loss'!C15</f>
        <v>72875051.418750003</v>
      </c>
      <c r="E6" s="41">
        <f>'6.Cons Profit &amp; Loss'!D15</f>
        <v>84897245.849062502</v>
      </c>
      <c r="F6" s="41">
        <f>'6.Cons Profit &amp; Loss'!E15</f>
        <v>97939472.093859389</v>
      </c>
      <c r="G6" s="41">
        <f>'6.Cons Profit &amp; Loss'!F15</f>
        <v>112073677.84851332</v>
      </c>
      <c r="H6" s="41">
        <f>'6.Cons Profit &amp; Loss'!G15</f>
        <v>127192670.95339799</v>
      </c>
      <c r="I6" s="41">
        <f>'6.Cons Profit &amp; Loss'!H15</f>
        <v>143543379.17414978</v>
      </c>
    </row>
    <row r="7" spans="1:10">
      <c r="A7" s="40">
        <v>2</v>
      </c>
      <c r="B7" s="40" t="s">
        <v>229</v>
      </c>
      <c r="C7" s="41">
        <f>'1.Project Cost and MOF'!E21</f>
        <v>2072210.2521658083</v>
      </c>
      <c r="D7" s="41"/>
      <c r="E7" s="41"/>
      <c r="F7" s="41"/>
      <c r="G7" s="41"/>
      <c r="H7" s="41"/>
      <c r="I7" s="41"/>
    </row>
    <row r="8" spans="1:10">
      <c r="A8" s="40"/>
      <c r="B8" s="40" t="s">
        <v>290</v>
      </c>
      <c r="C8" s="41"/>
      <c r="D8" s="41"/>
      <c r="E8" s="41"/>
      <c r="F8" s="41"/>
      <c r="G8" s="41"/>
      <c r="H8" s="41"/>
      <c r="I8" s="41"/>
    </row>
    <row r="9" spans="1:10">
      <c r="A9" s="40">
        <v>3</v>
      </c>
      <c r="B9" s="40" t="s">
        <v>230</v>
      </c>
      <c r="C9" s="41">
        <f>'1.Project Cost and MOF'!E19</f>
        <v>17904472.199999999</v>
      </c>
      <c r="D9" s="41"/>
      <c r="E9" s="41"/>
      <c r="F9" s="41"/>
      <c r="G9" s="41"/>
      <c r="H9" s="41"/>
      <c r="I9" s="41"/>
    </row>
    <row r="10" spans="1:10">
      <c r="A10" s="40">
        <v>4</v>
      </c>
      <c r="B10" s="40" t="s">
        <v>231</v>
      </c>
      <c r="C10" s="41">
        <f>'1.Project Cost and MOF'!E20</f>
        <v>10444275.449999999</v>
      </c>
      <c r="D10" s="41"/>
      <c r="E10" s="41"/>
      <c r="F10" s="41"/>
      <c r="G10" s="41"/>
      <c r="H10" s="41"/>
      <c r="I10" s="41"/>
    </row>
    <row r="11" spans="1:10">
      <c r="A11" s="40">
        <v>5</v>
      </c>
      <c r="B11" s="40" t="s">
        <v>687</v>
      </c>
      <c r="C11" s="41">
        <f>'7.Balance Sheet'!B24</f>
        <v>1740512.7064974247</v>
      </c>
      <c r="D11" s="41">
        <f>'7.Balance Sheet'!C24-'7.Balance Sheet'!B24</f>
        <v>1045283.9736332791</v>
      </c>
      <c r="E11" s="41">
        <f>'7.Balance Sheet'!D24-'7.Balance Sheet'!C24</f>
        <v>463601.38471755991</v>
      </c>
      <c r="F11" s="41">
        <f>'7.Balance Sheet'!E24-'7.Balance Sheet'!D24</f>
        <v>502997.03148899041</v>
      </c>
      <c r="G11" s="41">
        <f>'7.Balance Sheet'!F24-'7.Balance Sheet'!E24</f>
        <v>545173.23947576992</v>
      </c>
      <c r="H11" s="41">
        <f>'7.Balance Sheet'!G24-'7.Balance Sheet'!F24</f>
        <v>586961.17232839298</v>
      </c>
      <c r="I11" s="41">
        <f>'7.Balance Sheet'!H24-'7.Balance Sheet'!G24</f>
        <v>634913.36872169562</v>
      </c>
    </row>
    <row r="12" spans="1:10">
      <c r="A12" s="40">
        <v>6</v>
      </c>
      <c r="B12" s="40" t="s">
        <v>684</v>
      </c>
      <c r="C12" s="41">
        <f>'7.Balance Sheet'!B25</f>
        <v>1052215.654196895</v>
      </c>
      <c r="D12" s="41">
        <f>'7.Balance Sheet'!C25-'7.Balance Sheet'!B25</f>
        <v>189280.33389852964</v>
      </c>
      <c r="E12" s="41">
        <f>'7.Balance Sheet'!D25-'7.Balance Sheet'!C25</f>
        <v>205577.82815289078</v>
      </c>
      <c r="F12" s="41">
        <f>'7.Balance Sheet'!E25-'7.Balance Sheet'!D25</f>
        <v>223031.87099794089</v>
      </c>
      <c r="G12" s="41">
        <f>'7.Balance Sheet'!F25-'7.Balance Sheet'!E25</f>
        <v>241717.37355711428</v>
      </c>
      <c r="H12" s="41">
        <f>'7.Balance Sheet'!G25-'7.Balance Sheet'!F25</f>
        <v>261537.61493923003</v>
      </c>
      <c r="I12" s="41">
        <f>'7.Balance Sheet'!H25-'7.Balance Sheet'!G25</f>
        <v>282911.81878114585</v>
      </c>
    </row>
    <row r="13" spans="1:10">
      <c r="A13" s="40"/>
      <c r="B13" s="40" t="s">
        <v>232</v>
      </c>
      <c r="C13" s="43">
        <f>C6+C7+C9+C10+C11+C12</f>
        <v>94020573.262860119</v>
      </c>
      <c r="D13" s="43">
        <f t="shared" ref="D13:I13" si="0">SUM(D6:D12)</f>
        <v>74109615.726281807</v>
      </c>
      <c r="E13" s="43">
        <f t="shared" si="0"/>
        <v>85566425.061932951</v>
      </c>
      <c r="F13" s="43">
        <f t="shared" si="0"/>
        <v>98665500.99634631</v>
      </c>
      <c r="G13" s="43">
        <f t="shared" si="0"/>
        <v>112860568.46154621</v>
      </c>
      <c r="H13" s="43">
        <f t="shared" si="0"/>
        <v>128041169.74066561</v>
      </c>
      <c r="I13" s="43">
        <f t="shared" si="0"/>
        <v>144461204.36165261</v>
      </c>
    </row>
    <row r="14" spans="1:10">
      <c r="A14" s="512" t="s">
        <v>233</v>
      </c>
      <c r="B14" s="512"/>
      <c r="C14" s="44"/>
      <c r="D14" s="44"/>
      <c r="E14" s="44"/>
      <c r="F14" s="44"/>
      <c r="G14" s="44"/>
      <c r="H14" s="44"/>
      <c r="I14" s="44"/>
    </row>
    <row r="15" spans="1:10">
      <c r="A15" s="40">
        <v>1</v>
      </c>
      <c r="B15" s="40" t="s">
        <v>234</v>
      </c>
      <c r="C15" s="44"/>
      <c r="D15" s="44"/>
      <c r="E15" s="44"/>
      <c r="F15" s="44"/>
      <c r="G15" s="44"/>
      <c r="H15" s="44"/>
      <c r="I15" s="44"/>
    </row>
    <row r="16" spans="1:10">
      <c r="A16" s="45" t="s">
        <v>235</v>
      </c>
      <c r="B16" s="44" t="str">
        <f>'[5]Total Cost of Project'!C3</f>
        <v>Land and Building</v>
      </c>
      <c r="C16" s="46">
        <f>'1.Project Cost and MOF'!D5</f>
        <v>26080427</v>
      </c>
      <c r="D16" s="46"/>
      <c r="E16" s="46"/>
      <c r="F16" s="46"/>
      <c r="G16" s="46"/>
      <c r="H16" s="46"/>
      <c r="I16" s="46"/>
    </row>
    <row r="17" spans="1:9">
      <c r="A17" s="45" t="s">
        <v>236</v>
      </c>
      <c r="B17" s="47" t="str">
        <f>'[5]Total Cost of Project'!C4</f>
        <v>Machinery and Equipment</v>
      </c>
      <c r="C17" s="46">
        <f>'1.Project Cost and MOF'!D6</f>
        <v>3640360</v>
      </c>
      <c r="D17" s="46"/>
      <c r="E17" s="46"/>
      <c r="F17" s="46"/>
      <c r="G17" s="46"/>
      <c r="H17" s="46"/>
      <c r="I17" s="46"/>
    </row>
    <row r="18" spans="1:9">
      <c r="A18" s="45" t="s">
        <v>273</v>
      </c>
      <c r="B18" s="47" t="s">
        <v>325</v>
      </c>
      <c r="C18" s="46">
        <f>'1.Project Cost and MOF'!D7</f>
        <v>0</v>
      </c>
      <c r="D18" s="46"/>
      <c r="E18" s="46"/>
      <c r="F18" s="46"/>
      <c r="G18" s="46"/>
      <c r="H18" s="46"/>
      <c r="I18" s="46"/>
    </row>
    <row r="19" spans="1:9">
      <c r="A19" s="45" t="s">
        <v>275</v>
      </c>
      <c r="B19" s="47" t="s">
        <v>327</v>
      </c>
      <c r="C19" s="46">
        <f>'1.Project Cost and MOF'!D8</f>
        <v>0</v>
      </c>
      <c r="D19" s="46"/>
      <c r="E19" s="46"/>
      <c r="F19" s="46"/>
      <c r="G19" s="46"/>
      <c r="H19" s="46"/>
      <c r="I19" s="46"/>
    </row>
    <row r="20" spans="1:9">
      <c r="A20" s="45" t="s">
        <v>328</v>
      </c>
      <c r="B20" s="47" t="s">
        <v>274</v>
      </c>
      <c r="C20" s="46">
        <f>'1.Project Cost and MOF'!D9</f>
        <v>0</v>
      </c>
      <c r="D20" s="41"/>
      <c r="E20" s="41"/>
      <c r="F20" s="41"/>
      <c r="G20" s="41"/>
      <c r="H20" s="41"/>
      <c r="I20" s="41"/>
    </row>
    <row r="21" spans="1:9">
      <c r="A21" s="45" t="s">
        <v>329</v>
      </c>
      <c r="B21" s="47" t="s">
        <v>276</v>
      </c>
      <c r="C21" s="46">
        <f>'1.Project Cost and MOF'!D10</f>
        <v>120000</v>
      </c>
      <c r="D21" s="41"/>
      <c r="E21" s="41"/>
      <c r="F21" s="41"/>
      <c r="G21" s="41"/>
      <c r="H21" s="41"/>
      <c r="I21" s="41"/>
    </row>
    <row r="22" spans="1:9">
      <c r="A22" s="40">
        <v>2</v>
      </c>
      <c r="B22" s="40" t="s">
        <v>237</v>
      </c>
      <c r="C22" s="44"/>
      <c r="D22" s="44"/>
      <c r="E22" s="44"/>
      <c r="F22" s="44"/>
      <c r="G22" s="44"/>
      <c r="H22" s="44"/>
      <c r="I22" s="44"/>
    </row>
    <row r="23" spans="1:9">
      <c r="A23" s="45" t="s">
        <v>235</v>
      </c>
      <c r="B23" s="44" t="s">
        <v>307</v>
      </c>
      <c r="C23" s="72">
        <f>'6.Cons Profit &amp; Loss'!B25</f>
        <v>53780763.92946133</v>
      </c>
      <c r="D23" s="72">
        <f>'6.Cons Profit &amp; Loss'!C25</f>
        <v>64538534.002481535</v>
      </c>
      <c r="E23" s="72">
        <f>'6.Cons Profit &amp; Loss'!D25</f>
        <v>75240999.849302709</v>
      </c>
      <c r="F23" s="72">
        <f>'6.Cons Profit &amp; Loss'!E25</f>
        <v>86852365.945799783</v>
      </c>
      <c r="G23" s="72">
        <f>'6.Cons Profit &amp; Loss'!F25</f>
        <v>99436766.152323321</v>
      </c>
      <c r="H23" s="72">
        <f>'6.Cons Profit &amp; Loss'!G25</f>
        <v>113053286.23738472</v>
      </c>
      <c r="I23" s="72">
        <f>'6.Cons Profit &amp; Loss'!H25</f>
        <v>127782866.41557145</v>
      </c>
    </row>
    <row r="24" spans="1:9">
      <c r="A24" s="45" t="s">
        <v>236</v>
      </c>
      <c r="B24" s="44" t="s">
        <v>306</v>
      </c>
      <c r="C24" s="41">
        <f>'6.Cons Profit &amp; Loss'!B36</f>
        <v>1553200</v>
      </c>
      <c r="D24" s="41">
        <f>'6.Cons Profit &amp; Loss'!C36</f>
        <v>1630860</v>
      </c>
      <c r="E24" s="41">
        <f>'6.Cons Profit &amp; Loss'!D36</f>
        <v>1712403</v>
      </c>
      <c r="F24" s="41">
        <f>'6.Cons Profit &amp; Loss'!E36</f>
        <v>1798023.1500000001</v>
      </c>
      <c r="G24" s="41">
        <f>'6.Cons Profit &amp; Loss'!F36</f>
        <v>1887924.3075000001</v>
      </c>
      <c r="H24" s="41">
        <f>'6.Cons Profit &amp; Loss'!G36</f>
        <v>1982320.5228750005</v>
      </c>
      <c r="I24" s="41">
        <f>'6.Cons Profit &amp; Loss'!H36</f>
        <v>2081436.5490187509</v>
      </c>
    </row>
    <row r="25" spans="1:9">
      <c r="A25" s="48">
        <v>3</v>
      </c>
      <c r="B25" s="40" t="s">
        <v>506</v>
      </c>
      <c r="C25" s="41"/>
      <c r="D25" s="41"/>
      <c r="E25" s="41"/>
      <c r="F25" s="41"/>
      <c r="G25" s="41"/>
      <c r="H25" s="41"/>
      <c r="I25" s="41"/>
    </row>
    <row r="26" spans="1:9">
      <c r="A26" s="45"/>
      <c r="B26" s="44" t="s">
        <v>238</v>
      </c>
      <c r="C26" s="41">
        <f>SUM('4.TL repayment sch'!E10:E21)</f>
        <v>903182.37753835903</v>
      </c>
      <c r="D26" s="41">
        <f>SUM('4.TL repayment sch'!E22:E33)</f>
        <v>1976474.8032090133</v>
      </c>
      <c r="E26" s="41">
        <f>SUM('4.TL repayment sch'!E34:E45)</f>
        <v>2227141.2796810758</v>
      </c>
      <c r="F26" s="41">
        <f>SUM('4.TL repayment sch'!E46:E57)</f>
        <v>2509598.5395847815</v>
      </c>
      <c r="G26" s="41">
        <f>SUM('4.TL repayment sch'!E58:E69)</f>
        <v>2827878.4499867689</v>
      </c>
      <c r="H26" s="41">
        <f>SUM('4.TL repayment sch'!E70:E81)</f>
        <v>0</v>
      </c>
      <c r="I26" s="41">
        <f>SUM('4.TL repayment sch'!E82:E93)</f>
        <v>0</v>
      </c>
    </row>
    <row r="27" spans="1:9">
      <c r="A27" s="45"/>
      <c r="B27" s="44" t="s">
        <v>239</v>
      </c>
      <c r="C27" s="41">
        <f>SUM('4.TL repayment sch'!D10:D21)</f>
        <v>1230995.5983271063</v>
      </c>
      <c r="D27" s="41">
        <f>SUM('4.TL repayment sch'!D22:D33)</f>
        <v>1038568.0945219175</v>
      </c>
      <c r="E27" s="41">
        <f>SUM('4.TL repayment sch'!D34:D45)</f>
        <v>787901.61804985523</v>
      </c>
      <c r="F27" s="41">
        <f>SUM('4.TL repayment sch'!D46:D57)</f>
        <v>505444.35814614943</v>
      </c>
      <c r="G27" s="41">
        <f>SUM('4.TL repayment sch'!D58:D69)</f>
        <v>187164.44774416217</v>
      </c>
      <c r="H27" s="41">
        <f>SUM('4.TL repayment sch'!D70:D81)</f>
        <v>0</v>
      </c>
      <c r="I27" s="41">
        <f>SUM('4.TL repayment sch'!D82:D93)</f>
        <v>0</v>
      </c>
    </row>
    <row r="28" spans="1:9">
      <c r="A28" s="45"/>
      <c r="B28" s="44" t="s">
        <v>240</v>
      </c>
      <c r="C28" s="41"/>
      <c r="D28" s="41"/>
      <c r="E28" s="41"/>
      <c r="F28" s="41"/>
      <c r="G28" s="41"/>
      <c r="H28" s="41"/>
      <c r="I28" s="41"/>
    </row>
    <row r="29" spans="1:9">
      <c r="A29" s="45"/>
      <c r="B29" s="44" t="s">
        <v>241</v>
      </c>
      <c r="C29" s="49">
        <f>'7.Balance Sheet'!B24*12%</f>
        <v>208861.52477969095</v>
      </c>
      <c r="D29" s="49">
        <f>'7.Balance Sheet'!C24*12%</f>
        <v>334295.60161568446</v>
      </c>
      <c r="E29" s="49">
        <f>'7.Balance Sheet'!D24*12%</f>
        <v>389927.76778179163</v>
      </c>
      <c r="F29" s="49">
        <f>'7.Balance Sheet'!E24*12%</f>
        <v>450287.41156047047</v>
      </c>
      <c r="G29" s="49">
        <f>'7.Balance Sheet'!F24*12%</f>
        <v>515708.20029756287</v>
      </c>
      <c r="H29" s="49">
        <f>'7.Balance Sheet'!G24*12%</f>
        <v>586143.54097696999</v>
      </c>
      <c r="I29" s="49">
        <f>'7.Balance Sheet'!H24*12%</f>
        <v>662333.14522357355</v>
      </c>
    </row>
    <row r="30" spans="1:9">
      <c r="A30" s="40">
        <v>4</v>
      </c>
      <c r="B30" s="40" t="s">
        <v>242</v>
      </c>
      <c r="C30" s="41">
        <f>'6.Cons Profit &amp; Loss'!B50</f>
        <v>222292.00433228491</v>
      </c>
      <c r="D30" s="41">
        <f>'6.Cons Profit &amp; Loss'!C50</f>
        <v>649326.44143402507</v>
      </c>
      <c r="E30" s="41">
        <f>'6.Cons Profit &amp; Loss'!D50</f>
        <v>1101093.5031013181</v>
      </c>
      <c r="F30" s="41">
        <f>'6.Cons Profit &amp; Loss'!E50</f>
        <v>1578913.0986987751</v>
      </c>
      <c r="G30" s="41">
        <f>'6.Cons Profit &amp; Loss'!F50</f>
        <v>2086742.9243286003</v>
      </c>
      <c r="H30" s="41">
        <f>'6.Cons Profit &amp; Loss'!G50</f>
        <v>2545038.718956871</v>
      </c>
      <c r="I30" s="41">
        <f>'6.Cons Profit &amp; Loss'!H50</f>
        <v>2970442.3429720546</v>
      </c>
    </row>
    <row r="31" spans="1:9">
      <c r="A31" s="40">
        <v>5</v>
      </c>
      <c r="B31" s="40" t="s">
        <v>685</v>
      </c>
      <c r="C31" s="41">
        <f>'7.Balance Sheet'!B9</f>
        <v>2288132.6520547946</v>
      </c>
      <c r="D31" s="41">
        <f>'7.Balance Sheet'!C9-'7.Balance Sheet'!B9</f>
        <v>457779.45715753408</v>
      </c>
      <c r="E31" s="41">
        <f>'7.Balance Sheet'!D9-'7.Balance Sheet'!C9</f>
        <v>455615.78636815073</v>
      </c>
      <c r="F31" s="41">
        <f>'7.Balance Sheet'!E9-'7.Balance Sheet'!D9</f>
        <v>494312.58473193552</v>
      </c>
      <c r="G31" s="41">
        <f>'7.Balance Sheet'!F9-'7.Balance Sheet'!E9</f>
        <v>535740.02346617868</v>
      </c>
      <c r="H31" s="41">
        <f>'7.Balance Sheet'!G9-'7.Balance Sheet'!F9</f>
        <v>576549.78950242512</v>
      </c>
      <c r="I31" s="41">
        <f>'7.Balance Sheet'!H9-'7.Balance Sheet'!G9</f>
        <v>623625.81719321944</v>
      </c>
    </row>
    <row r="32" spans="1:9">
      <c r="A32" s="40">
        <v>6</v>
      </c>
      <c r="B32" s="40" t="s">
        <v>686</v>
      </c>
      <c r="C32" s="41">
        <f>'7.Balance Sheet'!B10</f>
        <v>1084766.6108053334</v>
      </c>
      <c r="D32" s="41">
        <f>'7.Balance Sheet'!C10-'7.Balance Sheet'!B10</f>
        <v>196613.94820846664</v>
      </c>
      <c r="E32" s="41">
        <f>'7.Balance Sheet'!D10-'7.Balance Sheet'!C10</f>
        <v>213563.42650230019</v>
      </c>
      <c r="F32" s="41">
        <f>'7.Balance Sheet'!E10-'7.Balance Sheet'!D10</f>
        <v>231716.31775499554</v>
      </c>
      <c r="G32" s="41">
        <f>'7.Balance Sheet'!F10-'7.Balance Sheet'!E10</f>
        <v>251150.58956670505</v>
      </c>
      <c r="H32" s="41">
        <f>'7.Balance Sheet'!G10-'7.Balance Sheet'!F10</f>
        <v>271948.99776519719</v>
      </c>
      <c r="I32" s="41">
        <f>'7.Balance Sheet'!H10-'7.Balance Sheet'!G10</f>
        <v>294199.37030962389</v>
      </c>
    </row>
    <row r="33" spans="1:10">
      <c r="A33" s="40"/>
      <c r="B33" s="40" t="s">
        <v>243</v>
      </c>
      <c r="C33" s="50">
        <f>SUM(C16:C32)</f>
        <v>91112981.697298899</v>
      </c>
      <c r="D33" s="50">
        <f t="shared" ref="D33:I33" si="1">SUM(D16:D32)</f>
        <v>70822452.348628178</v>
      </c>
      <c r="E33" s="50">
        <f t="shared" si="1"/>
        <v>82128646.230787203</v>
      </c>
      <c r="F33" s="50">
        <f t="shared" si="1"/>
        <v>94420661.406276911</v>
      </c>
      <c r="G33" s="50">
        <f t="shared" si="1"/>
        <v>107729075.09521331</v>
      </c>
      <c r="H33" s="50">
        <f t="shared" si="1"/>
        <v>119015287.80746119</v>
      </c>
      <c r="I33" s="50">
        <f t="shared" si="1"/>
        <v>134414903.64028868</v>
      </c>
    </row>
    <row r="34" spans="1:10">
      <c r="A34" s="40"/>
      <c r="B34" s="40" t="s">
        <v>244</v>
      </c>
      <c r="C34" s="50">
        <f t="shared" ref="C34:I34" si="2">C13-C33</f>
        <v>2907591.56556122</v>
      </c>
      <c r="D34" s="50">
        <f t="shared" si="2"/>
        <v>3287163.3776536286</v>
      </c>
      <c r="E34" s="50">
        <f t="shared" si="2"/>
        <v>3437778.8311457485</v>
      </c>
      <c r="F34" s="50">
        <f t="shared" si="2"/>
        <v>4244839.5900693983</v>
      </c>
      <c r="G34" s="50">
        <f t="shared" si="2"/>
        <v>5131493.3663329035</v>
      </c>
      <c r="H34" s="50">
        <f t="shared" si="2"/>
        <v>9025881.9332044274</v>
      </c>
      <c r="I34" s="50">
        <f t="shared" si="2"/>
        <v>10046300.721363932</v>
      </c>
    </row>
    <row r="35" spans="1:10">
      <c r="A35" s="48"/>
      <c r="B35" s="44" t="s">
        <v>245</v>
      </c>
      <c r="C35" s="44"/>
      <c r="D35" s="51">
        <f t="shared" ref="D35:I35" si="3">C36</f>
        <v>2907591.56556122</v>
      </c>
      <c r="E35" s="51">
        <f t="shared" si="3"/>
        <v>6194754.9432148486</v>
      </c>
      <c r="F35" s="51">
        <f t="shared" si="3"/>
        <v>9632533.7743605971</v>
      </c>
      <c r="G35" s="51">
        <f t="shared" si="3"/>
        <v>13877373.364429995</v>
      </c>
      <c r="H35" s="51">
        <f t="shared" si="3"/>
        <v>19008866.730762899</v>
      </c>
      <c r="I35" s="51">
        <f t="shared" si="3"/>
        <v>28034748.663967326</v>
      </c>
    </row>
    <row r="36" spans="1:10">
      <c r="A36" s="40"/>
      <c r="B36" s="52" t="s">
        <v>246</v>
      </c>
      <c r="C36" s="50">
        <f t="shared" ref="C36:I36" si="4">C34+C35</f>
        <v>2907591.56556122</v>
      </c>
      <c r="D36" s="50">
        <f t="shared" si="4"/>
        <v>6194754.9432148486</v>
      </c>
      <c r="E36" s="50">
        <f t="shared" si="4"/>
        <v>9632533.7743605971</v>
      </c>
      <c r="F36" s="50">
        <f t="shared" si="4"/>
        <v>13877373.364429995</v>
      </c>
      <c r="G36" s="50">
        <f t="shared" si="4"/>
        <v>19008866.730762899</v>
      </c>
      <c r="H36" s="50">
        <f t="shared" si="4"/>
        <v>28034748.663967326</v>
      </c>
      <c r="I36" s="50">
        <f t="shared" si="4"/>
        <v>38081049.385331258</v>
      </c>
    </row>
    <row r="38" spans="1:10" ht="40" customHeight="1">
      <c r="A38" s="513" t="s">
        <v>401</v>
      </c>
      <c r="B38" s="513"/>
      <c r="C38" s="513"/>
      <c r="D38" s="513"/>
      <c r="E38" s="513"/>
      <c r="F38" s="513"/>
      <c r="G38" s="513"/>
      <c r="H38" s="513"/>
      <c r="I38" s="513"/>
      <c r="J38" s="513"/>
    </row>
    <row r="40" spans="1:10">
      <c r="C40" s="66"/>
    </row>
    <row r="41" spans="1:10">
      <c r="C41" s="66"/>
    </row>
    <row r="42" spans="1:10">
      <c r="C42" s="66"/>
    </row>
    <row r="43" spans="1:10">
      <c r="C43" s="66"/>
    </row>
    <row r="44" spans="1:10">
      <c r="C44" s="66"/>
    </row>
  </sheetData>
  <mergeCells count="4">
    <mergeCell ref="A1:G1"/>
    <mergeCell ref="A14:B14"/>
    <mergeCell ref="A2:I2"/>
    <mergeCell ref="A38:J38"/>
  </mergeCells>
  <pageMargins left="0.7" right="0.7" top="0.75" bottom="0.75" header="0.3" footer="0.3"/>
  <pageSetup scale="5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1"/>
  <sheetViews>
    <sheetView view="pageBreakPreview" topLeftCell="A170" zoomScaleSheetLayoutView="100" workbookViewId="0">
      <selection activeCell="A171" sqref="A171"/>
    </sheetView>
  </sheetViews>
  <sheetFormatPr defaultRowHeight="14.5"/>
  <cols>
    <col min="2" max="2" width="32.7265625" bestFit="1" customWidth="1"/>
    <col min="3" max="3" width="22.54296875" customWidth="1"/>
    <col min="4" max="5" width="15.81640625" bestFit="1" customWidth="1"/>
    <col min="6" max="6" width="16.54296875" customWidth="1"/>
    <col min="7" max="9" width="15.81640625" bestFit="1" customWidth="1"/>
    <col min="10" max="10" width="14.81640625" customWidth="1"/>
    <col min="11" max="11" width="14.453125" customWidth="1"/>
    <col min="12" max="12" width="14.81640625" bestFit="1" customWidth="1"/>
    <col min="13" max="18" width="11.81640625" bestFit="1" customWidth="1"/>
    <col min="19" max="19" width="4.54296875" bestFit="1" customWidth="1"/>
  </cols>
  <sheetData>
    <row r="5" spans="2:10" ht="17.5">
      <c r="B5" s="514" t="s">
        <v>559</v>
      </c>
      <c r="C5" s="514"/>
      <c r="D5" s="514"/>
      <c r="E5" s="514"/>
      <c r="F5" s="514"/>
      <c r="G5" s="514"/>
      <c r="H5" s="514"/>
      <c r="I5" s="514"/>
      <c r="J5" s="514"/>
    </row>
    <row r="6" spans="2:10" ht="16.5">
      <c r="B6" s="8"/>
      <c r="C6" s="8"/>
      <c r="D6" s="8"/>
      <c r="E6" s="8"/>
      <c r="F6" s="8"/>
      <c r="G6" s="8"/>
      <c r="H6" s="8"/>
      <c r="I6" s="8"/>
      <c r="J6" s="8"/>
    </row>
    <row r="7" spans="2:10" ht="15.5">
      <c r="B7" s="83" t="s">
        <v>29</v>
      </c>
      <c r="C7" s="84" t="s">
        <v>330</v>
      </c>
      <c r="D7" s="84" t="s">
        <v>2</v>
      </c>
      <c r="E7" s="84" t="s">
        <v>3</v>
      </c>
      <c r="F7" s="84" t="s">
        <v>4</v>
      </c>
      <c r="G7" s="84" t="s">
        <v>5</v>
      </c>
      <c r="H7" s="84" t="s">
        <v>6</v>
      </c>
      <c r="I7" s="84" t="s">
        <v>169</v>
      </c>
      <c r="J7" s="84" t="s">
        <v>168</v>
      </c>
    </row>
    <row r="8" spans="2:10">
      <c r="B8" s="85"/>
      <c r="C8" s="85"/>
      <c r="D8" s="85"/>
      <c r="E8" s="85"/>
      <c r="F8" s="85"/>
      <c r="G8" s="85"/>
      <c r="H8" s="85"/>
      <c r="I8" s="85"/>
      <c r="J8" s="85"/>
    </row>
    <row r="9" spans="2:10">
      <c r="B9" s="85" t="s">
        <v>30</v>
      </c>
      <c r="C9" s="85"/>
      <c r="D9" s="86">
        <f>'6.Cons Profit &amp; Loss'!B51</f>
        <v>2729589.61919958</v>
      </c>
      <c r="E9" s="86">
        <f>'6.Cons Profit &amp; Loss'!C51</f>
        <v>3602282.9547968404</v>
      </c>
      <c r="F9" s="86">
        <f>'6.Cons Profit &amp; Loss'!D51</f>
        <v>4583735.7869268283</v>
      </c>
      <c r="G9" s="86">
        <f>'6.Cons Profit &amp; Loss'!E51</f>
        <v>5673253.8057542052</v>
      </c>
      <c r="H9" s="86">
        <f>'6.Cons Profit &amp; Loss'!F51</f>
        <v>6878187.4924196703</v>
      </c>
      <c r="I9" s="86">
        <f>'6.Cons Profit &amp; Loss'!G51</f>
        <v>7968697.6093044318</v>
      </c>
      <c r="J9" s="86">
        <f>'6.Cons Profit &amp; Loss'!H51</f>
        <v>8989116.3974639475</v>
      </c>
    </row>
    <row r="10" spans="2:10">
      <c r="B10" s="85"/>
      <c r="C10" s="85"/>
      <c r="D10" s="86"/>
      <c r="E10" s="86"/>
      <c r="F10" s="86"/>
      <c r="G10" s="86"/>
      <c r="H10" s="86"/>
      <c r="I10" s="86"/>
      <c r="J10" s="86"/>
    </row>
    <row r="11" spans="2:10">
      <c r="B11" s="87" t="s">
        <v>31</v>
      </c>
      <c r="C11" s="87"/>
      <c r="D11" s="86">
        <f>'6.Cons Profit &amp; Loss'!B42</f>
        <v>1057184.3239</v>
      </c>
      <c r="E11" s="86">
        <f>'6.Cons Profit &amp; Loss'!C42</f>
        <v>1057184.3239</v>
      </c>
      <c r="F11" s="86">
        <f>'6.Cons Profit &amp; Loss'!D42</f>
        <v>1057184.3239</v>
      </c>
      <c r="G11" s="86">
        <f>'6.Cons Profit &amp; Loss'!E42</f>
        <v>1057184.3239</v>
      </c>
      <c r="H11" s="86">
        <f>'6.Cons Profit &amp; Loss'!F42</f>
        <v>1057184.3239</v>
      </c>
      <c r="I11" s="86">
        <f>'6.Cons Profit &amp; Loss'!G42</f>
        <v>1057184.3239</v>
      </c>
      <c r="J11" s="86">
        <f>'6.Cons Profit &amp; Loss'!H42</f>
        <v>1057184.3239</v>
      </c>
    </row>
    <row r="12" spans="2:10">
      <c r="B12" s="85" t="s">
        <v>36</v>
      </c>
      <c r="C12" s="85"/>
      <c r="D12" s="86">
        <f>'6.Cons Profit &amp; Loss'!B43</f>
        <v>24000</v>
      </c>
      <c r="E12" s="86">
        <f>'6.Cons Profit &amp; Loss'!C43</f>
        <v>24000</v>
      </c>
      <c r="F12" s="86">
        <f>'6.Cons Profit &amp; Loss'!D43</f>
        <v>24000</v>
      </c>
      <c r="G12" s="86">
        <f>'6.Cons Profit &amp; Loss'!E43</f>
        <v>24000</v>
      </c>
      <c r="H12" s="86">
        <f>'6.Cons Profit &amp; Loss'!F43</f>
        <v>24000</v>
      </c>
      <c r="I12" s="86">
        <f>'6.Cons Profit &amp; Loss'!G43</f>
        <v>0</v>
      </c>
      <c r="J12" s="86">
        <f>'6.Cons Profit &amp; Loss'!H43</f>
        <v>0</v>
      </c>
    </row>
    <row r="13" spans="2:10">
      <c r="B13" s="85"/>
      <c r="C13" s="85"/>
      <c r="D13" s="85"/>
      <c r="E13" s="85"/>
      <c r="F13" s="85"/>
      <c r="G13" s="85"/>
      <c r="H13" s="85"/>
      <c r="I13" s="85"/>
      <c r="J13" s="85"/>
    </row>
    <row r="14" spans="2:10">
      <c r="B14" s="85" t="s">
        <v>32</v>
      </c>
      <c r="C14" s="85"/>
      <c r="D14" s="86">
        <f>SUM(D9:D12)</f>
        <v>3810773.9430995798</v>
      </c>
      <c r="E14" s="86">
        <f t="shared" ref="E14:J14" si="0">SUM(E9:E12)</f>
        <v>4683467.2786968406</v>
      </c>
      <c r="F14" s="86">
        <f t="shared" si="0"/>
        <v>5664920.1108268285</v>
      </c>
      <c r="G14" s="86">
        <f t="shared" si="0"/>
        <v>6754438.1296542054</v>
      </c>
      <c r="H14" s="86">
        <f t="shared" si="0"/>
        <v>7959371.8163196705</v>
      </c>
      <c r="I14" s="86">
        <f t="shared" si="0"/>
        <v>9025881.9332044311</v>
      </c>
      <c r="J14" s="86">
        <f t="shared" si="0"/>
        <v>10046300.721363947</v>
      </c>
    </row>
    <row r="15" spans="2:10">
      <c r="B15" s="85" t="s">
        <v>339</v>
      </c>
      <c r="C15" s="88">
        <f>-'1.Project Cost and MOF'!E22</f>
        <v>-30420957.902165808</v>
      </c>
      <c r="D15" s="86">
        <f>D14</f>
        <v>3810773.9430995798</v>
      </c>
      <c r="E15" s="86">
        <f t="shared" ref="E15:J15" si="1">E14</f>
        <v>4683467.2786968406</v>
      </c>
      <c r="F15" s="86">
        <f t="shared" si="1"/>
        <v>5664920.1108268285</v>
      </c>
      <c r="G15" s="86">
        <f t="shared" si="1"/>
        <v>6754438.1296542054</v>
      </c>
      <c r="H15" s="86">
        <f t="shared" si="1"/>
        <v>7959371.8163196705</v>
      </c>
      <c r="I15" s="86">
        <f t="shared" si="1"/>
        <v>9025881.9332044311</v>
      </c>
      <c r="J15" s="86">
        <f t="shared" si="1"/>
        <v>10046300.721363947</v>
      </c>
    </row>
    <row r="16" spans="2:10">
      <c r="B16" s="85" t="s">
        <v>278</v>
      </c>
      <c r="C16" s="255">
        <f>IRR(C15:J15)</f>
        <v>0.10820849880681416</v>
      </c>
      <c r="D16" s="86"/>
      <c r="E16" s="86"/>
      <c r="F16" s="86"/>
      <c r="G16" s="86"/>
      <c r="H16" s="86"/>
      <c r="I16" s="86"/>
      <c r="J16" s="86"/>
    </row>
    <row r="17" spans="2:19">
      <c r="B17" s="85"/>
      <c r="C17" s="85"/>
      <c r="D17" s="85"/>
      <c r="E17" s="85"/>
      <c r="F17" s="85"/>
      <c r="G17" s="85"/>
      <c r="H17" s="85"/>
      <c r="I17" s="85"/>
      <c r="J17" s="85"/>
    </row>
    <row r="18" spans="2:19" ht="16.5">
      <c r="B18" s="256" t="s">
        <v>398</v>
      </c>
      <c r="C18" s="256"/>
      <c r="D18" s="257">
        <f>1/(1+$C$16)</f>
        <v>0.90235727399372945</v>
      </c>
      <c r="E18" s="258">
        <f t="shared" ref="E18:J18" si="2">D18/(1+$C$16)</f>
        <v>0.8142486499293945</v>
      </c>
      <c r="F18" s="258">
        <f t="shared" si="2"/>
        <v>0.73474319210336292</v>
      </c>
      <c r="G18" s="258">
        <f t="shared" si="2"/>
        <v>0.66300086391184165</v>
      </c>
      <c r="H18" s="258">
        <f t="shared" si="2"/>
        <v>0.59826365221497702</v>
      </c>
      <c r="I18" s="258">
        <f t="shared" si="2"/>
        <v>0.5398475583422393</v>
      </c>
      <c r="J18" s="258">
        <f t="shared" si="2"/>
        <v>0.48713537111787386</v>
      </c>
      <c r="L18" s="17"/>
      <c r="M18" s="17"/>
      <c r="N18" s="17"/>
      <c r="O18" s="17"/>
      <c r="P18" s="17"/>
      <c r="Q18" s="17"/>
      <c r="R18" s="17"/>
      <c r="S18" s="17"/>
    </row>
    <row r="19" spans="2:19">
      <c r="B19" s="85" t="s">
        <v>33</v>
      </c>
      <c r="C19" s="85"/>
      <c r="D19" s="86">
        <f t="shared" ref="D19:J19" si="3">D14*D18</f>
        <v>3438679.5871016723</v>
      </c>
      <c r="E19" s="86">
        <f t="shared" si="3"/>
        <v>3813506.9086673977</v>
      </c>
      <c r="F19" s="86">
        <f t="shared" si="3"/>
        <v>4162261.4852394406</v>
      </c>
      <c r="G19" s="86">
        <f t="shared" si="3"/>
        <v>4478198.3151998222</v>
      </c>
      <c r="H19" s="86">
        <f t="shared" si="3"/>
        <v>4761802.8521683617</v>
      </c>
      <c r="I19" s="86">
        <f t="shared" si="3"/>
        <v>4872600.3235257426</v>
      </c>
      <c r="J19" s="86">
        <f t="shared" si="3"/>
        <v>4893908.4302633898</v>
      </c>
      <c r="L19" s="6"/>
    </row>
    <row r="20" spans="2:19">
      <c r="B20" s="85" t="s">
        <v>34</v>
      </c>
      <c r="C20" s="85"/>
      <c r="D20" s="521">
        <f>SUM(D19:J19)</f>
        <v>30420957.902165826</v>
      </c>
      <c r="E20" s="521"/>
      <c r="F20" s="521"/>
      <c r="G20" s="521"/>
      <c r="H20" s="521"/>
      <c r="I20" s="521"/>
      <c r="J20" s="521"/>
      <c r="L20" s="6"/>
    </row>
    <row r="21" spans="2:19">
      <c r="B21" s="85"/>
      <c r="C21" s="85"/>
      <c r="D21" s="86"/>
      <c r="E21" s="86"/>
      <c r="F21" s="86"/>
      <c r="G21" s="86"/>
      <c r="H21" s="86"/>
      <c r="I21" s="86"/>
      <c r="J21" s="86"/>
    </row>
    <row r="22" spans="2:19">
      <c r="B22" s="9" t="s">
        <v>35</v>
      </c>
      <c r="C22" s="9"/>
      <c r="D22" s="522">
        <f>'1.Project Cost and MOF'!D12</f>
        <v>30420957.902165808</v>
      </c>
      <c r="E22" s="522"/>
      <c r="F22" s="522"/>
      <c r="G22" s="522"/>
      <c r="H22" s="522"/>
      <c r="I22" s="522"/>
      <c r="J22" s="522"/>
    </row>
    <row r="23" spans="2:19">
      <c r="F23" s="17">
        <f>D20-D22</f>
        <v>0</v>
      </c>
    </row>
    <row r="24" spans="2:19" ht="29.5" customHeight="1">
      <c r="B24" s="515" t="s">
        <v>415</v>
      </c>
      <c r="C24" s="515"/>
      <c r="D24" s="515"/>
      <c r="E24" s="515"/>
      <c r="F24" s="515"/>
      <c r="G24" s="515"/>
      <c r="H24" s="515"/>
      <c r="I24" s="515"/>
      <c r="J24" s="515"/>
    </row>
    <row r="25" spans="2:19">
      <c r="K25" s="17"/>
      <c r="L25" s="17"/>
      <c r="M25" s="17"/>
    </row>
    <row r="26" spans="2:19" ht="17.5">
      <c r="B26" s="473" t="s">
        <v>560</v>
      </c>
      <c r="C26" s="473"/>
      <c r="D26" s="473"/>
      <c r="E26" s="473"/>
      <c r="F26" s="473"/>
      <c r="G26" s="473"/>
      <c r="H26" s="473"/>
      <c r="I26" s="473"/>
    </row>
    <row r="27" spans="2:19">
      <c r="K27" s="17"/>
    </row>
    <row r="28" spans="2:19">
      <c r="B28" s="109" t="s">
        <v>0</v>
      </c>
      <c r="C28" s="100" t="s">
        <v>2</v>
      </c>
      <c r="D28" s="100" t="s">
        <v>3</v>
      </c>
      <c r="E28" s="100" t="s">
        <v>4</v>
      </c>
      <c r="F28" s="100" t="s">
        <v>5</v>
      </c>
      <c r="G28" s="100" t="s">
        <v>6</v>
      </c>
      <c r="H28" s="100" t="s">
        <v>169</v>
      </c>
      <c r="I28" s="100" t="s">
        <v>168</v>
      </c>
    </row>
    <row r="29" spans="2:19">
      <c r="B29" s="91"/>
      <c r="C29" s="91"/>
      <c r="D29" s="91"/>
      <c r="E29" s="91"/>
      <c r="F29" s="91"/>
      <c r="G29" s="91"/>
      <c r="H29" s="91"/>
      <c r="I29" s="91"/>
    </row>
    <row r="30" spans="2:19">
      <c r="B30" s="91" t="s">
        <v>37</v>
      </c>
      <c r="C30" s="91"/>
      <c r="D30" s="91"/>
      <c r="E30" s="91"/>
      <c r="F30" s="91"/>
      <c r="G30" s="91"/>
      <c r="H30" s="91"/>
      <c r="I30" s="91"/>
    </row>
    <row r="31" spans="2:19">
      <c r="B31" s="91"/>
      <c r="C31" s="92"/>
      <c r="D31" s="92"/>
      <c r="E31" s="92"/>
      <c r="F31" s="92"/>
      <c r="G31" s="92"/>
      <c r="H31" s="92"/>
      <c r="I31" s="92"/>
    </row>
    <row r="32" spans="2:19">
      <c r="B32" s="106" t="str">
        <f>'6.Cons Profit &amp; Loss'!A8</f>
        <v>Activity 1 - Cleaning &amp; Grading</v>
      </c>
      <c r="C32" s="92">
        <f>'6.Cons Profit &amp; Loss'!B8</f>
        <v>58502886.999999993</v>
      </c>
      <c r="D32" s="92">
        <f>'6.Cons Profit &amp; Loss'!C8</f>
        <v>70304651.418750003</v>
      </c>
      <c r="E32" s="92">
        <f>'6.Cons Profit &amp; Loss'!D8</f>
        <v>82039565.849062502</v>
      </c>
      <c r="F32" s="92">
        <f>'6.Cons Profit &amp; Loss'!E8</f>
        <v>94772210.093859389</v>
      </c>
      <c r="G32" s="92">
        <f>'6.Cons Profit &amp; Loss'!F8</f>
        <v>108573019.84851332</v>
      </c>
      <c r="H32" s="92">
        <f>'6.Cons Profit &amp; Loss'!G8</f>
        <v>123516980.05339798</v>
      </c>
      <c r="I32" s="92">
        <f>'6.Cons Profit &amp; Loss'!H8</f>
        <v>139683903.72914979</v>
      </c>
    </row>
    <row r="33" spans="2:9">
      <c r="B33" s="106" t="str">
        <f>'6.Cons Profit &amp; Loss'!A9</f>
        <v>Activity 2 - Cold Press Oil</v>
      </c>
      <c r="C33" s="92">
        <f>'6.Cons Profit &amp; Loss'!B9</f>
        <v>0</v>
      </c>
      <c r="D33" s="92">
        <f>'6.Cons Profit &amp; Loss'!C9</f>
        <v>0</v>
      </c>
      <c r="E33" s="92">
        <f>'6.Cons Profit &amp; Loss'!D9</f>
        <v>0</v>
      </c>
      <c r="F33" s="92">
        <f>'6.Cons Profit &amp; Loss'!E9</f>
        <v>0</v>
      </c>
      <c r="G33" s="92">
        <f>'6.Cons Profit &amp; Loss'!F9</f>
        <v>0</v>
      </c>
      <c r="H33" s="92">
        <f>'6.Cons Profit &amp; Loss'!G9</f>
        <v>0</v>
      </c>
      <c r="I33" s="92">
        <f>'6.Cons Profit &amp; Loss'!H9</f>
        <v>0</v>
      </c>
    </row>
    <row r="34" spans="2:9">
      <c r="B34" s="106" t="str">
        <f>'6.Cons Profit &amp; Loss'!A10</f>
        <v>Activity 2 - Warehouse</v>
      </c>
      <c r="C34" s="92">
        <f>'6.Cons Profit &amp; Loss'!B10</f>
        <v>2304000</v>
      </c>
      <c r="D34" s="92">
        <f>'6.Cons Profit &amp; Loss'!C10</f>
        <v>2570400.0000000005</v>
      </c>
      <c r="E34" s="92">
        <f>'6.Cons Profit &amp; Loss'!D10</f>
        <v>2857680.0000000005</v>
      </c>
      <c r="F34" s="92">
        <f>'6.Cons Profit &amp; Loss'!E10</f>
        <v>3167262.0000000014</v>
      </c>
      <c r="G34" s="92">
        <f>'6.Cons Profit &amp; Loss'!F10</f>
        <v>3500658.0000000019</v>
      </c>
      <c r="H34" s="92">
        <f>'6.Cons Profit &amp; Loss'!G10</f>
        <v>3675690.9000000022</v>
      </c>
      <c r="I34" s="92">
        <f>'6.Cons Profit &amp; Loss'!H10</f>
        <v>3859475.4450000026</v>
      </c>
    </row>
    <row r="35" spans="2:9">
      <c r="B35" s="106" t="str">
        <f>'6.Cons Profit &amp; Loss'!A11</f>
        <v xml:space="preserve">Faclitiy 4 - Custom Hiring </v>
      </c>
      <c r="C35" s="92">
        <f>'6.Cons Profit &amp; Loss'!B11</f>
        <v>0</v>
      </c>
      <c r="D35" s="92">
        <f>'6.Cons Profit &amp; Loss'!C11</f>
        <v>0</v>
      </c>
      <c r="E35" s="92">
        <f>'6.Cons Profit &amp; Loss'!D11</f>
        <v>0</v>
      </c>
      <c r="F35" s="92">
        <f>'6.Cons Profit &amp; Loss'!E11</f>
        <v>0</v>
      </c>
      <c r="G35" s="92">
        <f>'6.Cons Profit &amp; Loss'!F11</f>
        <v>0</v>
      </c>
      <c r="H35" s="92">
        <f>'6.Cons Profit &amp; Loss'!G11</f>
        <v>0</v>
      </c>
      <c r="I35" s="92">
        <f>'6.Cons Profit &amp; Loss'!H11</f>
        <v>0</v>
      </c>
    </row>
    <row r="36" spans="2:9">
      <c r="B36" s="106" t="str">
        <f>'6.Cons Profit &amp; Loss'!A12</f>
        <v>Faclitiy 5 - Agri Input Centre</v>
      </c>
      <c r="C36" s="92">
        <f>'6.Cons Profit &amp; Loss'!B12</f>
        <v>0</v>
      </c>
      <c r="D36" s="92">
        <f>'6.Cons Profit &amp; Loss'!C12</f>
        <v>0</v>
      </c>
      <c r="E36" s="92">
        <f>'6.Cons Profit &amp; Loss'!D12</f>
        <v>0</v>
      </c>
      <c r="F36" s="92">
        <f>'6.Cons Profit &amp; Loss'!E12</f>
        <v>0</v>
      </c>
      <c r="G36" s="92">
        <f>'6.Cons Profit &amp; Loss'!F12</f>
        <v>0</v>
      </c>
      <c r="H36" s="92">
        <f>'6.Cons Profit &amp; Loss'!G12</f>
        <v>0</v>
      </c>
      <c r="I36" s="92">
        <f>'6.Cons Profit &amp; Loss'!H12</f>
        <v>0</v>
      </c>
    </row>
    <row r="37" spans="2:9">
      <c r="B37" s="106" t="str">
        <f>'6.Cons Profit &amp; Loss'!A13</f>
        <v>Facility 6 - Processing Unit - Horti Commodity</v>
      </c>
      <c r="C37" s="92">
        <f>'6.Cons Profit &amp; Loss'!B13</f>
        <v>0</v>
      </c>
      <c r="D37" s="92">
        <f>'6.Cons Profit &amp; Loss'!C13</f>
        <v>0</v>
      </c>
      <c r="E37" s="92">
        <f>'6.Cons Profit &amp; Loss'!D13</f>
        <v>0</v>
      </c>
      <c r="F37" s="92">
        <f>'6.Cons Profit &amp; Loss'!E13</f>
        <v>0</v>
      </c>
      <c r="G37" s="92">
        <f>'6.Cons Profit &amp; Loss'!F13</f>
        <v>0</v>
      </c>
      <c r="H37" s="92">
        <f>'6.Cons Profit &amp; Loss'!G13</f>
        <v>0</v>
      </c>
      <c r="I37" s="92">
        <f>'6.Cons Profit &amp; Loss'!H13</f>
        <v>0</v>
      </c>
    </row>
    <row r="38" spans="2:9">
      <c r="B38" s="106"/>
      <c r="C38" s="106"/>
      <c r="D38" s="106"/>
      <c r="E38" s="106"/>
      <c r="F38" s="106"/>
      <c r="G38" s="106"/>
      <c r="H38" s="106"/>
      <c r="I38" s="106"/>
    </row>
    <row r="39" spans="2:9">
      <c r="B39" s="91" t="s">
        <v>8</v>
      </c>
      <c r="C39" s="92">
        <f>SUM(C32:C38)</f>
        <v>60806886.999999993</v>
      </c>
      <c r="D39" s="92">
        <f t="shared" ref="D39:I39" si="4">SUM(D32:D38)</f>
        <v>72875051.418750003</v>
      </c>
      <c r="E39" s="92">
        <f t="shared" si="4"/>
        <v>84897245.849062502</v>
      </c>
      <c r="F39" s="92">
        <f t="shared" si="4"/>
        <v>97939472.093859389</v>
      </c>
      <c r="G39" s="92">
        <f t="shared" si="4"/>
        <v>112073677.84851332</v>
      </c>
      <c r="H39" s="92">
        <f t="shared" si="4"/>
        <v>127192670.95339799</v>
      </c>
      <c r="I39" s="92">
        <f t="shared" si="4"/>
        <v>143543379.17414978</v>
      </c>
    </row>
    <row r="40" spans="2:9">
      <c r="B40" s="91"/>
      <c r="C40" s="92"/>
      <c r="D40" s="92"/>
      <c r="E40" s="92"/>
      <c r="F40" s="92"/>
      <c r="G40" s="92"/>
      <c r="H40" s="92"/>
      <c r="I40" s="92"/>
    </row>
    <row r="41" spans="2:9">
      <c r="B41" s="91" t="s">
        <v>38</v>
      </c>
      <c r="C41" s="92">
        <f>'6.Cons Profit &amp; Loss'!B25</f>
        <v>53780763.92946133</v>
      </c>
      <c r="D41" s="92">
        <f>'6.Cons Profit &amp; Loss'!C25</f>
        <v>64538534.002481535</v>
      </c>
      <c r="E41" s="92">
        <f>'6.Cons Profit &amp; Loss'!D25</f>
        <v>75240999.849302709</v>
      </c>
      <c r="F41" s="92">
        <f>'6.Cons Profit &amp; Loss'!E25</f>
        <v>86852365.945799783</v>
      </c>
      <c r="G41" s="92">
        <f>'6.Cons Profit &amp; Loss'!F25</f>
        <v>99436766.152323321</v>
      </c>
      <c r="H41" s="92">
        <f>'6.Cons Profit &amp; Loss'!G25</f>
        <v>113053286.23738472</v>
      </c>
      <c r="I41" s="92">
        <f>'6.Cons Profit &amp; Loss'!H25</f>
        <v>127782866.41557145</v>
      </c>
    </row>
    <row r="42" spans="2:9">
      <c r="B42" s="91"/>
      <c r="C42" s="92"/>
      <c r="D42" s="92"/>
      <c r="E42" s="92"/>
      <c r="F42" s="92"/>
      <c r="G42" s="92"/>
      <c r="H42" s="92"/>
      <c r="I42" s="92"/>
    </row>
    <row r="43" spans="2:9">
      <c r="B43" s="93" t="s">
        <v>39</v>
      </c>
      <c r="C43" s="111">
        <f>C39-C41</f>
        <v>7026123.0705386624</v>
      </c>
      <c r="D43" s="111">
        <f t="shared" ref="D43:I43" si="5">D39-D41</f>
        <v>8336517.4162684679</v>
      </c>
      <c r="E43" s="111">
        <f t="shared" si="5"/>
        <v>9656245.9997597933</v>
      </c>
      <c r="F43" s="111">
        <f t="shared" si="5"/>
        <v>11087106.148059607</v>
      </c>
      <c r="G43" s="111">
        <f t="shared" si="5"/>
        <v>12636911.69619</v>
      </c>
      <c r="H43" s="111">
        <f t="shared" si="5"/>
        <v>14139384.716013268</v>
      </c>
      <c r="I43" s="111">
        <f t="shared" si="5"/>
        <v>15760512.75857833</v>
      </c>
    </row>
    <row r="44" spans="2:9">
      <c r="B44" s="91"/>
      <c r="C44" s="92"/>
      <c r="D44" s="92"/>
      <c r="E44" s="92"/>
      <c r="F44" s="92"/>
      <c r="G44" s="92"/>
      <c r="H44" s="92"/>
      <c r="I44" s="92"/>
    </row>
    <row r="45" spans="2:9">
      <c r="B45" s="93" t="s">
        <v>41</v>
      </c>
      <c r="C45" s="111">
        <f>'6.Cons Profit &amp; Loss'!B36+'3.Other Exp &amp; Taxes'!K66+'3.Other Exp &amp; Taxes'!C87</f>
        <v>4731296.7</v>
      </c>
      <c r="D45" s="111">
        <f>'6.Cons Profit &amp; Loss'!C36+'3.Other Exp &amp; Taxes'!L66+'3.Other Exp &amp; Taxes'!D87</f>
        <v>4466244.33</v>
      </c>
      <c r="E45" s="111">
        <f>'6.Cons Profit &amp; Loss'!D36+'3.Other Exp &amp; Taxes'!M66+'3.Other Exp &amp; Taxes'!E87</f>
        <v>4243441.602</v>
      </c>
      <c r="F45" s="111">
        <f>'6.Cons Profit &amp; Loss'!E36+'3.Other Exp &amp; Taxes'!N66+'3.Other Exp &amp; Taxes'!F87</f>
        <v>4058631.6910500005</v>
      </c>
      <c r="G45" s="111">
        <f>'6.Cons Profit &amp; Loss'!F36+'3.Other Exp &amp; Taxes'!O66+'3.Other Exp &amp; Taxes'!G87</f>
        <v>3908104.7238075002</v>
      </c>
      <c r="H45" s="111">
        <f>'6.Cons Profit &amp; Loss'!G36+'3.Other Exp &amp; Taxes'!P66+'3.Other Exp &amp; Taxes'!H87</f>
        <v>3764630.7175098751</v>
      </c>
      <c r="I45" s="111">
        <f>'6.Cons Profit &amp; Loss'!H36+'3.Other Exp &amp; Taxes'!Q66+'3.Other Exp &amp; Taxes'!I87</f>
        <v>3673401.3711545449</v>
      </c>
    </row>
    <row r="46" spans="2:9">
      <c r="B46" s="91"/>
      <c r="C46" s="91"/>
      <c r="D46" s="91"/>
      <c r="E46" s="91"/>
      <c r="F46" s="91"/>
      <c r="G46" s="91"/>
      <c r="H46" s="91"/>
      <c r="I46" s="91"/>
    </row>
    <row r="47" spans="2:9">
      <c r="B47" s="91" t="s">
        <v>40</v>
      </c>
      <c r="C47" s="110">
        <f>C45/C43</f>
        <v>0.67338653941871129</v>
      </c>
      <c r="D47" s="110">
        <f>D45/D43</f>
        <v>0.53574461696490383</v>
      </c>
      <c r="E47" s="110">
        <f>E45/E43</f>
        <v>0.43945044503894776</v>
      </c>
      <c r="F47" s="110">
        <f>F45/F43</f>
        <v>0.36606772198715853</v>
      </c>
      <c r="G47" s="110">
        <f>G45/G43</f>
        <v>0.30926106138620757</v>
      </c>
      <c r="H47" s="110">
        <f t="shared" ref="H47:I47" si="6">H45/H43</f>
        <v>0.26625138173419388</v>
      </c>
      <c r="I47" s="110">
        <f t="shared" si="6"/>
        <v>0.23307626010804375</v>
      </c>
    </row>
    <row r="48" spans="2:9">
      <c r="B48" s="90"/>
      <c r="C48" s="90"/>
      <c r="D48" s="90"/>
      <c r="E48" s="90"/>
      <c r="F48" s="90"/>
      <c r="G48" s="90"/>
      <c r="H48" s="90"/>
      <c r="I48" s="90"/>
    </row>
    <row r="49" spans="2:10">
      <c r="B49" s="112" t="s">
        <v>134</v>
      </c>
      <c r="C49" s="113">
        <f>AVERAGE(C47:I47)</f>
        <v>0.40331971809116668</v>
      </c>
      <c r="D49" s="90"/>
      <c r="E49" s="90"/>
      <c r="F49" s="90"/>
      <c r="G49" s="90"/>
      <c r="H49" s="90"/>
      <c r="I49" s="90"/>
    </row>
    <row r="51" spans="2:10" ht="41.5" customHeight="1">
      <c r="B51" s="516" t="s">
        <v>416</v>
      </c>
      <c r="C51" s="516"/>
      <c r="D51" s="516"/>
      <c r="E51" s="516"/>
      <c r="F51" s="516"/>
      <c r="G51" s="516"/>
      <c r="H51" s="516"/>
      <c r="I51" s="516"/>
      <c r="J51" s="516"/>
    </row>
    <row r="54" spans="2:10" ht="17.5">
      <c r="B54" s="473" t="s">
        <v>561</v>
      </c>
      <c r="C54" s="473"/>
      <c r="D54" s="473"/>
      <c r="E54" s="473"/>
      <c r="F54" s="473"/>
      <c r="G54" s="473"/>
      <c r="H54" s="473"/>
      <c r="I54" s="473"/>
    </row>
    <row r="56" spans="2:10">
      <c r="B56" s="79" t="s">
        <v>29</v>
      </c>
      <c r="C56" s="80" t="s">
        <v>2</v>
      </c>
      <c r="D56" s="80" t="s">
        <v>3</v>
      </c>
      <c r="E56" s="80" t="s">
        <v>4</v>
      </c>
      <c r="F56" s="80" t="s">
        <v>5</v>
      </c>
      <c r="G56" s="80" t="s">
        <v>6</v>
      </c>
      <c r="H56" s="80" t="s">
        <v>169</v>
      </c>
      <c r="I56" s="80" t="s">
        <v>168</v>
      </c>
    </row>
    <row r="57" spans="2:10">
      <c r="B57" s="91"/>
      <c r="C57" s="91"/>
      <c r="D57" s="91"/>
      <c r="E57" s="91"/>
      <c r="F57" s="91"/>
      <c r="G57" s="91"/>
      <c r="H57" s="91"/>
      <c r="I57" s="91"/>
    </row>
    <row r="58" spans="2:10">
      <c r="B58" s="91" t="s">
        <v>371</v>
      </c>
      <c r="C58" s="325">
        <f>'6.Cons Profit &amp; Loss'!B51</f>
        <v>2729589.61919958</v>
      </c>
      <c r="D58" s="325">
        <f>'6.Cons Profit &amp; Loss'!C51</f>
        <v>3602282.9547968404</v>
      </c>
      <c r="E58" s="325">
        <f>'6.Cons Profit &amp; Loss'!D51</f>
        <v>4583735.7869268283</v>
      </c>
      <c r="F58" s="325">
        <f>'6.Cons Profit &amp; Loss'!E51</f>
        <v>5673253.8057542052</v>
      </c>
      <c r="G58" s="325">
        <f>'6.Cons Profit &amp; Loss'!F51</f>
        <v>6878187.4924196703</v>
      </c>
      <c r="H58" s="325">
        <f>'6.Cons Profit &amp; Loss'!G51</f>
        <v>7968697.6093044318</v>
      </c>
      <c r="I58" s="325">
        <f>'6.Cons Profit &amp; Loss'!H51</f>
        <v>8989116.3974639475</v>
      </c>
    </row>
    <row r="59" spans="2:10">
      <c r="B59" s="91"/>
      <c r="C59" s="325"/>
      <c r="D59" s="325"/>
      <c r="E59" s="325"/>
      <c r="F59" s="325"/>
      <c r="G59" s="325"/>
      <c r="H59" s="325"/>
      <c r="I59" s="325"/>
    </row>
    <row r="60" spans="2:10">
      <c r="B60" s="91" t="s">
        <v>42</v>
      </c>
      <c r="C60" s="325">
        <f>'6.Cons Profit &amp; Loss'!B42</f>
        <v>1057184.3239</v>
      </c>
      <c r="D60" s="325">
        <f>'6.Cons Profit &amp; Loss'!C42</f>
        <v>1057184.3239</v>
      </c>
      <c r="E60" s="325">
        <f>'6.Cons Profit &amp; Loss'!D42</f>
        <v>1057184.3239</v>
      </c>
      <c r="F60" s="325">
        <f>'6.Cons Profit &amp; Loss'!E42</f>
        <v>1057184.3239</v>
      </c>
      <c r="G60" s="325">
        <f>'6.Cons Profit &amp; Loss'!F42</f>
        <v>1057184.3239</v>
      </c>
      <c r="H60" s="325">
        <f>'6.Cons Profit &amp; Loss'!G42</f>
        <v>1057184.3239</v>
      </c>
      <c r="I60" s="325">
        <f>'6.Cons Profit &amp; Loss'!H42</f>
        <v>1057184.3239</v>
      </c>
    </row>
    <row r="61" spans="2:10">
      <c r="B61" s="105" t="s">
        <v>48</v>
      </c>
      <c r="C61" s="325">
        <f>'6.Cons Profit &amp; Loss'!B43</f>
        <v>24000</v>
      </c>
      <c r="D61" s="325">
        <f>'6.Cons Profit &amp; Loss'!C43</f>
        <v>24000</v>
      </c>
      <c r="E61" s="325">
        <f>'6.Cons Profit &amp; Loss'!D43</f>
        <v>24000</v>
      </c>
      <c r="F61" s="325">
        <f>'6.Cons Profit &amp; Loss'!E43</f>
        <v>24000</v>
      </c>
      <c r="G61" s="325">
        <f>'6.Cons Profit &amp; Loss'!F43</f>
        <v>24000</v>
      </c>
      <c r="H61" s="325">
        <f>'6.Cons Profit &amp; Loss'!G43</f>
        <v>0</v>
      </c>
      <c r="I61" s="325">
        <f>'6.Cons Profit &amp; Loss'!H43</f>
        <v>0</v>
      </c>
    </row>
    <row r="62" spans="2:10">
      <c r="B62" s="91"/>
      <c r="C62" s="325"/>
      <c r="D62" s="325"/>
      <c r="E62" s="325"/>
      <c r="F62" s="325"/>
      <c r="G62" s="325"/>
      <c r="H62" s="325"/>
      <c r="I62" s="325"/>
    </row>
    <row r="63" spans="2:10">
      <c r="B63" s="91" t="s">
        <v>32</v>
      </c>
      <c r="C63" s="325">
        <f>SUM(C58:C61)</f>
        <v>3810773.9430995798</v>
      </c>
      <c r="D63" s="325">
        <f t="shared" ref="D63:I63" si="7">SUM(D58:D61)</f>
        <v>4683467.2786968406</v>
      </c>
      <c r="E63" s="325">
        <f t="shared" si="7"/>
        <v>5664920.1108268285</v>
      </c>
      <c r="F63" s="325">
        <f t="shared" si="7"/>
        <v>6754438.1296542054</v>
      </c>
      <c r="G63" s="325">
        <f t="shared" si="7"/>
        <v>7959371.8163196705</v>
      </c>
      <c r="H63" s="325">
        <f t="shared" si="7"/>
        <v>9025881.9332044311</v>
      </c>
      <c r="I63" s="325">
        <f t="shared" si="7"/>
        <v>10046300.721363947</v>
      </c>
    </row>
    <row r="64" spans="2:10">
      <c r="B64" s="91"/>
      <c r="C64" s="91"/>
      <c r="D64" s="91"/>
      <c r="E64" s="91"/>
      <c r="F64" s="91"/>
      <c r="G64" s="91"/>
      <c r="H64" s="91"/>
      <c r="I64" s="91"/>
    </row>
    <row r="65" spans="2:10" ht="16.5">
      <c r="B65" s="11" t="s">
        <v>43</v>
      </c>
      <c r="C65" s="106">
        <f>1/1.1</f>
        <v>0.90909090909090906</v>
      </c>
      <c r="D65" s="106">
        <f t="shared" ref="D65:I65" si="8">C65/1.1</f>
        <v>0.82644628099173545</v>
      </c>
      <c r="E65" s="106">
        <f t="shared" si="8"/>
        <v>0.75131480090157765</v>
      </c>
      <c r="F65" s="106">
        <f t="shared" si="8"/>
        <v>0.68301345536507052</v>
      </c>
      <c r="G65" s="106">
        <f t="shared" si="8"/>
        <v>0.62092132305915493</v>
      </c>
      <c r="H65" s="106">
        <f t="shared" si="8"/>
        <v>0.56447393005377711</v>
      </c>
      <c r="I65" s="106">
        <f t="shared" si="8"/>
        <v>0.51315811823070645</v>
      </c>
    </row>
    <row r="66" spans="2:10">
      <c r="B66" s="91"/>
      <c r="C66" s="91"/>
      <c r="D66" s="91"/>
      <c r="E66" s="91"/>
      <c r="F66" s="91"/>
      <c r="G66" s="91"/>
      <c r="H66" s="91"/>
      <c r="I66" s="91"/>
    </row>
    <row r="67" spans="2:10" ht="16.5">
      <c r="B67" s="11" t="s">
        <v>44</v>
      </c>
      <c r="C67" s="92">
        <f>C63*C65</f>
        <v>3464339.9482723451</v>
      </c>
      <c r="D67" s="92">
        <f t="shared" ref="D67:I67" si="9">D63*D65</f>
        <v>3870634.1146254879</v>
      </c>
      <c r="E67" s="92">
        <f t="shared" si="9"/>
        <v>4256138.3251892021</v>
      </c>
      <c r="F67" s="92">
        <f t="shared" si="9"/>
        <v>4613372.1259847032</v>
      </c>
      <c r="G67" s="92">
        <f t="shared" si="9"/>
        <v>4942143.678908959</v>
      </c>
      <c r="H67" s="92">
        <f t="shared" si="9"/>
        <v>5094875.0470372885</v>
      </c>
      <c r="I67" s="92">
        <f t="shared" si="9"/>
        <v>5155340.7733549112</v>
      </c>
    </row>
    <row r="68" spans="2:10">
      <c r="B68" s="90"/>
      <c r="C68" s="108"/>
      <c r="D68" s="108"/>
      <c r="E68" s="108"/>
      <c r="F68" s="108"/>
      <c r="G68" s="108"/>
      <c r="H68" s="108"/>
      <c r="I68" s="108"/>
    </row>
    <row r="69" spans="2:10" ht="16.5">
      <c r="B69" s="12" t="s">
        <v>45</v>
      </c>
      <c r="C69" s="108">
        <f>SUM(C67:I67)</f>
        <v>31396844.013372894</v>
      </c>
      <c r="D69" s="108"/>
      <c r="E69" s="108"/>
      <c r="F69" s="108"/>
      <c r="G69" s="108"/>
      <c r="H69" s="108"/>
      <c r="I69" s="108"/>
    </row>
    <row r="70" spans="2:10">
      <c r="B70" s="90"/>
      <c r="C70" s="108"/>
      <c r="D70" s="108"/>
      <c r="E70" s="108"/>
      <c r="F70" s="108"/>
      <c r="G70" s="108"/>
      <c r="H70" s="108"/>
      <c r="I70" s="108"/>
    </row>
    <row r="71" spans="2:10" ht="16.5">
      <c r="B71" s="12" t="s">
        <v>46</v>
      </c>
      <c r="C71" s="108">
        <f>-C15</f>
        <v>30420957.902165808</v>
      </c>
      <c r="D71" s="108"/>
      <c r="E71" s="108"/>
      <c r="F71" s="108"/>
      <c r="G71" s="108"/>
      <c r="H71" s="108"/>
      <c r="I71" s="108"/>
    </row>
    <row r="72" spans="2:10">
      <c r="B72" s="90"/>
      <c r="C72" s="107"/>
      <c r="D72" s="90"/>
      <c r="E72" s="90"/>
      <c r="F72" s="90"/>
      <c r="G72" s="90"/>
      <c r="H72" s="90"/>
      <c r="I72" s="90"/>
    </row>
    <row r="73" spans="2:10" ht="16.5">
      <c r="B73" s="12" t="s">
        <v>47</v>
      </c>
      <c r="C73" s="107">
        <f>C69-C71</f>
        <v>975886.11120708659</v>
      </c>
      <c r="D73" s="90"/>
      <c r="E73" s="90"/>
      <c r="F73" s="90"/>
      <c r="G73" s="90"/>
      <c r="H73" s="90"/>
      <c r="I73" s="90"/>
    </row>
    <row r="75" spans="2:10" ht="35.15" customHeight="1">
      <c r="B75" s="507" t="s">
        <v>417</v>
      </c>
      <c r="C75" s="507"/>
      <c r="D75" s="507"/>
      <c r="E75" s="507"/>
      <c r="F75" s="507"/>
      <c r="G75" s="507"/>
      <c r="H75" s="507"/>
      <c r="I75" s="507"/>
      <c r="J75" s="507"/>
    </row>
    <row r="76" spans="2:10" ht="17.5">
      <c r="B76" s="473" t="s">
        <v>562</v>
      </c>
      <c r="C76" s="473"/>
      <c r="D76" s="473"/>
      <c r="E76" s="473"/>
      <c r="F76" s="473"/>
      <c r="G76" s="473"/>
      <c r="H76" s="473"/>
      <c r="I76" s="473"/>
    </row>
    <row r="77" spans="2:10">
      <c r="B77" s="90"/>
      <c r="C77" s="90"/>
      <c r="D77" s="90"/>
      <c r="E77" s="90"/>
      <c r="F77" s="90"/>
      <c r="G77" s="90"/>
      <c r="H77" s="90"/>
      <c r="I77" s="90"/>
    </row>
    <row r="78" spans="2:10" ht="15.5">
      <c r="B78" s="71" t="s">
        <v>0</v>
      </c>
      <c r="C78" s="71" t="s">
        <v>2</v>
      </c>
      <c r="D78" s="71" t="s">
        <v>3</v>
      </c>
      <c r="E78" s="71" t="s">
        <v>4</v>
      </c>
      <c r="F78" s="71" t="s">
        <v>5</v>
      </c>
      <c r="G78" s="71" t="s">
        <v>6</v>
      </c>
      <c r="H78" s="71" t="s">
        <v>169</v>
      </c>
      <c r="I78" s="71" t="s">
        <v>168</v>
      </c>
    </row>
    <row r="79" spans="2:10" ht="15.5">
      <c r="B79" s="68"/>
      <c r="C79" s="69"/>
      <c r="D79" s="69"/>
      <c r="E79" s="69"/>
      <c r="F79" s="69"/>
      <c r="G79" s="69"/>
      <c r="H79" s="69"/>
      <c r="I79" s="69"/>
    </row>
    <row r="80" spans="2:10">
      <c r="B80" s="93" t="s">
        <v>27</v>
      </c>
      <c r="C80" s="92">
        <f>'6.Cons Profit &amp; Loss'!B51</f>
        <v>2729589.61919958</v>
      </c>
      <c r="D80" s="92">
        <f>'6.Cons Profit &amp; Loss'!C51</f>
        <v>3602282.9547968404</v>
      </c>
      <c r="E80" s="92">
        <f>'6.Cons Profit &amp; Loss'!D51</f>
        <v>4583735.7869268283</v>
      </c>
      <c r="F80" s="92">
        <f>'6.Cons Profit &amp; Loss'!E51</f>
        <v>5673253.8057542052</v>
      </c>
      <c r="G80" s="92">
        <f>'6.Cons Profit &amp; Loss'!F51</f>
        <v>6878187.4924196703</v>
      </c>
      <c r="H80" s="92">
        <f>'6.Cons Profit &amp; Loss'!G51</f>
        <v>7968697.6093044318</v>
      </c>
      <c r="I80" s="92">
        <f>'6.Cons Profit &amp; Loss'!H51</f>
        <v>8989116.3974639475</v>
      </c>
    </row>
    <row r="81" spans="2:10">
      <c r="B81" s="91"/>
      <c r="C81" s="91"/>
      <c r="D81" s="91"/>
      <c r="E81" s="91"/>
      <c r="F81" s="91"/>
      <c r="G81" s="91"/>
      <c r="H81" s="91"/>
      <c r="I81" s="91"/>
    </row>
    <row r="82" spans="2:10">
      <c r="B82" s="93" t="s">
        <v>124</v>
      </c>
      <c r="C82" s="524">
        <f>AVERAGE(C80:I80)</f>
        <v>5774980.5236950722</v>
      </c>
      <c r="D82" s="524"/>
      <c r="E82" s="524"/>
      <c r="F82" s="524"/>
      <c r="G82" s="524"/>
      <c r="H82" s="524"/>
      <c r="I82" s="524"/>
    </row>
    <row r="83" spans="2:10">
      <c r="B83" s="93" t="s">
        <v>125</v>
      </c>
      <c r="C83" s="524">
        <f>C71</f>
        <v>30420957.902165808</v>
      </c>
      <c r="D83" s="524"/>
      <c r="E83" s="524"/>
      <c r="F83" s="524"/>
      <c r="G83" s="524"/>
      <c r="H83" s="524"/>
      <c r="I83" s="524"/>
    </row>
    <row r="84" spans="2:10">
      <c r="B84" s="91"/>
      <c r="C84" s="91"/>
      <c r="D84" s="91"/>
      <c r="E84" s="91"/>
      <c r="F84" s="91"/>
      <c r="G84" s="91"/>
      <c r="H84" s="91"/>
      <c r="I84" s="91"/>
    </row>
    <row r="85" spans="2:10">
      <c r="B85" s="254" t="s">
        <v>126</v>
      </c>
      <c r="C85" s="525">
        <f>C82/C83</f>
        <v>0.18983559105099465</v>
      </c>
      <c r="D85" s="525"/>
      <c r="E85" s="525"/>
      <c r="F85" s="525"/>
      <c r="G85" s="525"/>
      <c r="H85" s="525"/>
      <c r="I85" s="525"/>
    </row>
    <row r="88" spans="2:10">
      <c r="B88" s="523" t="s">
        <v>418</v>
      </c>
      <c r="C88" s="523"/>
      <c r="D88" s="523"/>
      <c r="E88" s="523"/>
      <c r="F88" s="523"/>
      <c r="G88" s="523"/>
      <c r="H88" s="523"/>
      <c r="I88" s="523"/>
    </row>
    <row r="90" spans="2:10" ht="17.5">
      <c r="B90" s="473" t="s">
        <v>563</v>
      </c>
      <c r="C90" s="473"/>
      <c r="D90" s="473"/>
      <c r="E90" s="473"/>
      <c r="F90" s="473"/>
      <c r="G90" s="473"/>
      <c r="H90" s="473"/>
      <c r="I90" s="473"/>
      <c r="J90" s="473"/>
    </row>
    <row r="92" spans="2:10">
      <c r="B92" s="100" t="s">
        <v>0</v>
      </c>
      <c r="C92" s="100" t="s">
        <v>330</v>
      </c>
      <c r="D92" s="100" t="s">
        <v>2</v>
      </c>
      <c r="E92" s="100" t="s">
        <v>3</v>
      </c>
      <c r="F92" s="100" t="s">
        <v>4</v>
      </c>
      <c r="G92" s="100" t="s">
        <v>5</v>
      </c>
      <c r="H92" s="100" t="s">
        <v>6</v>
      </c>
      <c r="I92" s="100" t="s">
        <v>169</v>
      </c>
      <c r="J92" s="100" t="s">
        <v>168</v>
      </c>
    </row>
    <row r="93" spans="2:10">
      <c r="B93" s="101"/>
      <c r="C93" s="101"/>
      <c r="D93" s="102"/>
      <c r="E93" s="102"/>
      <c r="F93" s="102"/>
      <c r="G93" s="102"/>
      <c r="H93" s="102"/>
      <c r="I93" s="102"/>
      <c r="J93" s="102"/>
    </row>
    <row r="94" spans="2:10">
      <c r="B94" s="24" t="s">
        <v>279</v>
      </c>
      <c r="C94" s="103">
        <f>C83</f>
        <v>30420957.902165808</v>
      </c>
      <c r="D94" s="102"/>
      <c r="E94" s="102"/>
      <c r="F94" s="102"/>
      <c r="G94" s="102"/>
      <c r="H94" s="102"/>
      <c r="I94" s="102"/>
      <c r="J94" s="102"/>
    </row>
    <row r="95" spans="2:10">
      <c r="B95" s="25" t="str">
        <f>B58</f>
        <v>Profit after Tax &amp; Dividend</v>
      </c>
      <c r="C95" s="25"/>
      <c r="D95" s="26">
        <f>'6.Cons Profit &amp; Loss'!B51</f>
        <v>2729589.61919958</v>
      </c>
      <c r="E95" s="26">
        <f>'6.Cons Profit &amp; Loss'!C51</f>
        <v>3602282.9547968404</v>
      </c>
      <c r="F95" s="26">
        <f>'6.Cons Profit &amp; Loss'!D51</f>
        <v>4583735.7869268283</v>
      </c>
      <c r="G95" s="26">
        <f>'6.Cons Profit &amp; Loss'!E51</f>
        <v>5673253.8057542052</v>
      </c>
      <c r="H95" s="26">
        <f>'6.Cons Profit &amp; Loss'!F51</f>
        <v>6878187.4924196703</v>
      </c>
      <c r="I95" s="26">
        <f>'6.Cons Profit &amp; Loss'!G51</f>
        <v>7968697.6093044318</v>
      </c>
      <c r="J95" s="26">
        <f>'6.Cons Profit &amp; Loss'!H51</f>
        <v>8989116.3974639475</v>
      </c>
    </row>
    <row r="96" spans="2:10">
      <c r="B96" s="25" t="str">
        <f>B60</f>
        <v>Add: Deprication</v>
      </c>
      <c r="C96" s="25"/>
      <c r="D96" s="89">
        <f>'6.Cons Profit &amp; Loss'!B42</f>
        <v>1057184.3239</v>
      </c>
      <c r="E96" s="89">
        <f>'6.Cons Profit &amp; Loss'!C42</f>
        <v>1057184.3239</v>
      </c>
      <c r="F96" s="89">
        <f>'6.Cons Profit &amp; Loss'!D42</f>
        <v>1057184.3239</v>
      </c>
      <c r="G96" s="89">
        <f>'6.Cons Profit &amp; Loss'!E42</f>
        <v>1057184.3239</v>
      </c>
      <c r="H96" s="89">
        <f>'6.Cons Profit &amp; Loss'!F42</f>
        <v>1057184.3239</v>
      </c>
      <c r="I96" s="89">
        <f>'6.Cons Profit &amp; Loss'!G42</f>
        <v>1057184.3239</v>
      </c>
      <c r="J96" s="89">
        <f>'6.Cons Profit &amp; Loss'!H42</f>
        <v>1057184.3239</v>
      </c>
    </row>
    <row r="97" spans="2:10">
      <c r="B97" s="25" t="str">
        <f>B61</f>
        <v>Add. Preliminary exp Written off</v>
      </c>
      <c r="C97" s="25"/>
      <c r="D97" s="89">
        <f>'6.Cons Profit &amp; Loss'!B43</f>
        <v>24000</v>
      </c>
      <c r="E97" s="89">
        <f>'6.Cons Profit &amp; Loss'!C43</f>
        <v>24000</v>
      </c>
      <c r="F97" s="89">
        <f>'6.Cons Profit &amp; Loss'!D43</f>
        <v>24000</v>
      </c>
      <c r="G97" s="89">
        <f>'6.Cons Profit &amp; Loss'!E43</f>
        <v>24000</v>
      </c>
      <c r="H97" s="89">
        <f>'6.Cons Profit &amp; Loss'!F43</f>
        <v>24000</v>
      </c>
      <c r="I97" s="89">
        <f>'6.Cons Profit &amp; Loss'!G43</f>
        <v>0</v>
      </c>
      <c r="J97" s="89">
        <f>'6.Cons Profit &amp; Loss'!H43</f>
        <v>0</v>
      </c>
    </row>
    <row r="98" spans="2:10">
      <c r="B98" s="25" t="str">
        <f>B63</f>
        <v xml:space="preserve">Net Cash Accrual (A)      </v>
      </c>
      <c r="C98" s="25"/>
      <c r="D98" s="253">
        <f>SUM(D95:D97)</f>
        <v>3810773.9430995798</v>
      </c>
      <c r="E98" s="253">
        <f t="shared" ref="E98:J98" si="10">SUM(E95:E97)</f>
        <v>4683467.2786968406</v>
      </c>
      <c r="F98" s="253">
        <f t="shared" si="10"/>
        <v>5664920.1108268285</v>
      </c>
      <c r="G98" s="253">
        <f t="shared" si="10"/>
        <v>6754438.1296542054</v>
      </c>
      <c r="H98" s="253">
        <f t="shared" si="10"/>
        <v>7959371.8163196705</v>
      </c>
      <c r="I98" s="253">
        <f t="shared" si="10"/>
        <v>9025881.9332044311</v>
      </c>
      <c r="J98" s="253">
        <f t="shared" si="10"/>
        <v>10046300.721363947</v>
      </c>
    </row>
    <row r="99" spans="2:10">
      <c r="B99" s="24" t="s">
        <v>280</v>
      </c>
      <c r="C99" s="104"/>
      <c r="D99" s="70">
        <f>D98-C94</f>
        <v>-26610183.959066227</v>
      </c>
      <c r="E99" s="70">
        <f>D99+E98</f>
        <v>-21926716.680369385</v>
      </c>
      <c r="F99" s="70">
        <f>E99+F98</f>
        <v>-16261796.569542557</v>
      </c>
      <c r="G99" s="70">
        <f>F99+G98</f>
        <v>-9507358.4398883507</v>
      </c>
      <c r="H99" s="70">
        <f>G99+H98</f>
        <v>-1547986.6235686801</v>
      </c>
      <c r="I99" s="70">
        <f t="shared" ref="I99:J99" si="11">H99+I98</f>
        <v>7477895.3096357509</v>
      </c>
      <c r="J99" s="70">
        <f t="shared" si="11"/>
        <v>17524196.030999698</v>
      </c>
    </row>
    <row r="100" spans="2:10">
      <c r="B100" s="7"/>
      <c r="C100" s="7"/>
      <c r="D100" s="7"/>
      <c r="E100" s="7"/>
      <c r="F100" s="7"/>
      <c r="G100" s="7"/>
      <c r="H100" s="7"/>
      <c r="I100" s="7"/>
      <c r="J100" s="7"/>
    </row>
    <row r="101" spans="2:10">
      <c r="B101" s="27" t="s">
        <v>281</v>
      </c>
      <c r="C101" s="7"/>
      <c r="D101" s="63">
        <f>4+(-G99/H98)</f>
        <v>5.1944860297133921</v>
      </c>
      <c r="E101" s="7"/>
      <c r="F101" s="7"/>
      <c r="G101" s="7"/>
      <c r="H101" s="7"/>
      <c r="I101" s="7"/>
      <c r="J101" s="7"/>
    </row>
    <row r="102" spans="2:10">
      <c r="B102" s="7"/>
      <c r="C102" s="7"/>
      <c r="D102" s="7"/>
      <c r="E102" s="7"/>
      <c r="F102" s="7"/>
      <c r="G102" s="7"/>
      <c r="H102" s="7"/>
      <c r="I102" s="7"/>
      <c r="J102" s="7"/>
    </row>
    <row r="103" spans="2:10">
      <c r="B103" s="523" t="s">
        <v>419</v>
      </c>
      <c r="C103" s="523"/>
      <c r="D103" s="523"/>
      <c r="E103" s="523"/>
      <c r="F103" s="523"/>
      <c r="G103" s="523"/>
      <c r="H103" s="523"/>
      <c r="I103" s="523"/>
      <c r="J103" s="523"/>
    </row>
    <row r="105" spans="2:10" ht="17.5">
      <c r="B105" s="473" t="s">
        <v>564</v>
      </c>
      <c r="C105" s="473"/>
      <c r="D105" s="473"/>
      <c r="E105" s="473"/>
      <c r="F105" s="473"/>
      <c r="G105" s="473"/>
      <c r="H105" s="473"/>
      <c r="I105" s="473"/>
    </row>
    <row r="107" spans="2:10" ht="15.5">
      <c r="B107" s="71" t="s">
        <v>0</v>
      </c>
      <c r="C107" s="71" t="s">
        <v>2</v>
      </c>
      <c r="D107" s="71" t="s">
        <v>3</v>
      </c>
      <c r="E107" s="71" t="s">
        <v>4</v>
      </c>
      <c r="F107" s="71" t="s">
        <v>5</v>
      </c>
      <c r="G107" s="71" t="s">
        <v>6</v>
      </c>
      <c r="H107" s="71" t="s">
        <v>169</v>
      </c>
      <c r="I107" s="71" t="s">
        <v>168</v>
      </c>
    </row>
    <row r="108" spans="2:10" ht="15.5">
      <c r="B108" s="68"/>
      <c r="C108" s="69"/>
      <c r="D108" s="69"/>
      <c r="E108" s="69"/>
      <c r="F108" s="69"/>
      <c r="G108" s="69"/>
      <c r="H108" s="69"/>
      <c r="I108" s="69"/>
    </row>
    <row r="109" spans="2:10">
      <c r="B109" s="91" t="s">
        <v>333</v>
      </c>
      <c r="C109" s="92">
        <f>'6.Cons Profit &amp; Loss'!B40</f>
        <v>5472923.0705386624</v>
      </c>
      <c r="D109" s="92">
        <f>'6.Cons Profit &amp; Loss'!C40</f>
        <v>6705657.4162684679</v>
      </c>
      <c r="E109" s="92">
        <f>'6.Cons Profit &amp; Loss'!D40</f>
        <v>7943842.9997597933</v>
      </c>
      <c r="F109" s="92">
        <f>'6.Cons Profit &amp; Loss'!E40</f>
        <v>9289082.9980596006</v>
      </c>
      <c r="G109" s="92">
        <f>'6.Cons Profit &amp; Loss'!F40</f>
        <v>10748987.388689995</v>
      </c>
      <c r="H109" s="92">
        <f>'6.Cons Profit &amp; Loss'!G40</f>
        <v>12157064.193138272</v>
      </c>
      <c r="I109" s="92">
        <f>'6.Cons Profit &amp; Loss'!H40</f>
        <v>13679076.209559575</v>
      </c>
    </row>
    <row r="110" spans="2:10">
      <c r="B110" s="93" t="s">
        <v>1</v>
      </c>
      <c r="C110" s="94">
        <f t="shared" ref="C110:I110" si="12">SUM(C109:C109)</f>
        <v>5472923.0705386624</v>
      </c>
      <c r="D110" s="94">
        <f t="shared" si="12"/>
        <v>6705657.4162684679</v>
      </c>
      <c r="E110" s="94">
        <f t="shared" si="12"/>
        <v>7943842.9997597933</v>
      </c>
      <c r="F110" s="94">
        <f t="shared" si="12"/>
        <v>9289082.9980596006</v>
      </c>
      <c r="G110" s="94">
        <f t="shared" si="12"/>
        <v>10748987.388689995</v>
      </c>
      <c r="H110" s="94">
        <f t="shared" si="12"/>
        <v>12157064.193138272</v>
      </c>
      <c r="I110" s="94">
        <f t="shared" si="12"/>
        <v>13679076.209559575</v>
      </c>
    </row>
    <row r="111" spans="2:10">
      <c r="B111" s="91"/>
      <c r="C111" s="91"/>
      <c r="D111" s="91"/>
      <c r="E111" s="91"/>
      <c r="F111" s="91"/>
      <c r="G111" s="91"/>
      <c r="H111" s="91"/>
      <c r="I111" s="91"/>
    </row>
    <row r="112" spans="2:10">
      <c r="B112" s="95" t="s">
        <v>282</v>
      </c>
      <c r="C112" s="96">
        <f>'8.Cash Flow '!C26+'8.Cash Flow '!C27</f>
        <v>2134177.9758654656</v>
      </c>
      <c r="D112" s="96">
        <f>'8.Cash Flow '!D26+'8.Cash Flow '!D27</f>
        <v>3015042.8977309307</v>
      </c>
      <c r="E112" s="96">
        <f>'8.Cash Flow '!E26+'8.Cash Flow '!E27</f>
        <v>3015042.8977309312</v>
      </c>
      <c r="F112" s="96">
        <f>'8.Cash Flow '!F26+'8.Cash Flow '!F27</f>
        <v>3015042.8977309307</v>
      </c>
      <c r="G112" s="96">
        <f>'8.Cash Flow '!G26+'8.Cash Flow '!G27</f>
        <v>3015042.8977309312</v>
      </c>
      <c r="H112" s="96">
        <f>'8.Cash Flow '!H26+'8.Cash Flow '!H27</f>
        <v>0</v>
      </c>
      <c r="I112" s="96">
        <f>'8.Cash Flow '!I26+'8.Cash Flow '!I27</f>
        <v>0</v>
      </c>
    </row>
    <row r="113" spans="2:18">
      <c r="B113" s="91"/>
      <c r="C113" s="91"/>
      <c r="D113" s="91"/>
      <c r="E113" s="91"/>
      <c r="F113" s="91"/>
      <c r="G113" s="91"/>
      <c r="H113" s="91"/>
      <c r="I113" s="91"/>
    </row>
    <row r="114" spans="2:18">
      <c r="B114" s="97" t="s">
        <v>331</v>
      </c>
      <c r="C114" s="98">
        <f>C110/C112</f>
        <v>2.5644173693242465</v>
      </c>
      <c r="D114" s="98">
        <f t="shared" ref="D114:G114" si="13">D110/D112</f>
        <v>2.2240670012738559</v>
      </c>
      <c r="E114" s="98">
        <f t="shared" si="13"/>
        <v>2.6347363102986665</v>
      </c>
      <c r="F114" s="98">
        <f t="shared" si="13"/>
        <v>3.0809123827227811</v>
      </c>
      <c r="G114" s="98">
        <f t="shared" si="13"/>
        <v>3.5651192216135619</v>
      </c>
      <c r="H114" s="98"/>
      <c r="I114" s="98"/>
    </row>
    <row r="115" spans="2:18">
      <c r="B115" s="90"/>
      <c r="C115" s="90"/>
      <c r="D115" s="90"/>
      <c r="E115" s="90"/>
      <c r="F115" s="90"/>
      <c r="G115" s="90"/>
      <c r="H115" s="90"/>
      <c r="I115" s="90"/>
    </row>
    <row r="116" spans="2:18">
      <c r="B116" s="90" t="s">
        <v>332</v>
      </c>
      <c r="C116" s="99">
        <f>AVERAGE(C114:I114)</f>
        <v>2.8138504570466223</v>
      </c>
      <c r="D116" s="90"/>
      <c r="E116" s="90"/>
      <c r="F116" s="90"/>
      <c r="G116" s="90"/>
      <c r="H116" s="90"/>
      <c r="I116" s="90"/>
    </row>
    <row r="118" spans="2:18" ht="29.5" customHeight="1">
      <c r="B118" s="507" t="s">
        <v>420</v>
      </c>
      <c r="C118" s="507"/>
      <c r="D118" s="507"/>
      <c r="E118" s="507"/>
      <c r="F118" s="507"/>
      <c r="G118" s="507"/>
      <c r="H118" s="507"/>
      <c r="I118" s="507"/>
      <c r="J118" s="507"/>
    </row>
    <row r="120" spans="2:18" ht="21">
      <c r="B120" s="518" t="s">
        <v>565</v>
      </c>
      <c r="C120" s="519"/>
      <c r="D120" s="519"/>
      <c r="E120" s="519"/>
      <c r="F120" s="519"/>
      <c r="G120" s="519"/>
      <c r="H120" s="519"/>
      <c r="I120" s="519"/>
      <c r="K120" s="520"/>
      <c r="L120" s="520"/>
      <c r="M120" s="520"/>
      <c r="N120" s="520"/>
      <c r="O120" s="520"/>
      <c r="P120" s="520"/>
      <c r="Q120" s="520"/>
      <c r="R120" s="520"/>
    </row>
    <row r="121" spans="2:18">
      <c r="B121" s="79" t="s">
        <v>346</v>
      </c>
      <c r="C121" s="80" t="s">
        <v>2</v>
      </c>
      <c r="D121" s="80" t="s">
        <v>3</v>
      </c>
      <c r="E121" s="80" t="s">
        <v>4</v>
      </c>
      <c r="F121" s="80" t="s">
        <v>5</v>
      </c>
      <c r="G121" s="80" t="s">
        <v>6</v>
      </c>
      <c r="H121" s="80" t="s">
        <v>169</v>
      </c>
      <c r="I121" s="80" t="s">
        <v>168</v>
      </c>
    </row>
    <row r="122" spans="2:18">
      <c r="B122" s="73" t="str">
        <f>'6.Cons Profit &amp; Loss'!A8</f>
        <v>Activity 1 - Cleaning &amp; Grading</v>
      </c>
      <c r="C122" s="322">
        <f>'6.Cons Profit &amp; Loss'!B8*(1+$M$123)</f>
        <v>61428031.349999994</v>
      </c>
      <c r="D122" s="322">
        <f>'6.Cons Profit &amp; Loss'!C8*(1+$M$123)</f>
        <v>73819883.989687502</v>
      </c>
      <c r="E122" s="322">
        <f>'6.Cons Profit &amp; Loss'!D8*(1+$M$123)</f>
        <v>86141544.141515628</v>
      </c>
      <c r="F122" s="322">
        <f>'6.Cons Profit &amp; Loss'!E8*(1+$M$123)</f>
        <v>99510820.598552361</v>
      </c>
      <c r="G122" s="322">
        <f>'6.Cons Profit &amp; Loss'!F8*(1+$M$123)</f>
        <v>114001670.84093899</v>
      </c>
      <c r="H122" s="322">
        <f>'6.Cons Profit &amp; Loss'!G8*(1+$M$123)</f>
        <v>129692829.05606788</v>
      </c>
      <c r="I122" s="322">
        <f>'6.Cons Profit &amp; Loss'!H8*(1+$M$123)</f>
        <v>146668098.91560727</v>
      </c>
    </row>
    <row r="123" spans="2:18">
      <c r="B123" s="73" t="str">
        <f>'6.Cons Profit &amp; Loss'!A9</f>
        <v>Activity 2 - Cold Press Oil</v>
      </c>
      <c r="C123" s="322">
        <f>'6.Cons Profit &amp; Loss'!B9*(1+$M$123)</f>
        <v>0</v>
      </c>
      <c r="D123" s="322">
        <f>'6.Cons Profit &amp; Loss'!C9*(1+$M$123)</f>
        <v>0</v>
      </c>
      <c r="E123" s="322">
        <f>'6.Cons Profit &amp; Loss'!D9*(1+$M$123)</f>
        <v>0</v>
      </c>
      <c r="F123" s="322">
        <f>'6.Cons Profit &amp; Loss'!E9*(1+$M$123)</f>
        <v>0</v>
      </c>
      <c r="G123" s="322">
        <f>'6.Cons Profit &amp; Loss'!F9*(1+$M$123)</f>
        <v>0</v>
      </c>
      <c r="H123" s="322">
        <f>'6.Cons Profit &amp; Loss'!G9*(1+$M$123)</f>
        <v>0</v>
      </c>
      <c r="I123" s="322">
        <f>'6.Cons Profit &amp; Loss'!H9*(1+$M$123)</f>
        <v>0</v>
      </c>
      <c r="L123" s="5" t="s">
        <v>366</v>
      </c>
      <c r="M123" s="262">
        <v>0.05</v>
      </c>
    </row>
    <row r="124" spans="2:18">
      <c r="B124" s="73" t="str">
        <f>'6.Cons Profit &amp; Loss'!A10</f>
        <v>Activity 2 - Warehouse</v>
      </c>
      <c r="C124" s="322">
        <f>'6.Cons Profit &amp; Loss'!B10*(1+$M$123)</f>
        <v>2419200</v>
      </c>
      <c r="D124" s="322">
        <f>'6.Cons Profit &amp; Loss'!C10*(1+$M$123)</f>
        <v>2698920.0000000005</v>
      </c>
      <c r="E124" s="322">
        <f>'6.Cons Profit &amp; Loss'!D10*(1+$M$123)</f>
        <v>3000564.0000000005</v>
      </c>
      <c r="F124" s="322">
        <f>'6.Cons Profit &amp; Loss'!E10*(1+$M$123)</f>
        <v>3325625.1000000015</v>
      </c>
      <c r="G124" s="322">
        <f>'6.Cons Profit &amp; Loss'!F10*(1+$M$123)</f>
        <v>3675690.9000000022</v>
      </c>
      <c r="H124" s="322">
        <f>'6.Cons Profit &amp; Loss'!G10*(1+$M$123)</f>
        <v>3859475.4450000026</v>
      </c>
      <c r="I124" s="322">
        <f>'6.Cons Profit &amp; Loss'!H10*(1+$M$123)</f>
        <v>4052449.217250003</v>
      </c>
      <c r="L124" s="5" t="s">
        <v>367</v>
      </c>
      <c r="M124" s="262">
        <v>0.05</v>
      </c>
    </row>
    <row r="125" spans="2:18">
      <c r="B125" s="73" t="str">
        <f>'6.Cons Profit &amp; Loss'!A11</f>
        <v xml:space="preserve">Faclitiy 4 - Custom Hiring </v>
      </c>
      <c r="C125" s="322">
        <f>'6.Cons Profit &amp; Loss'!B11*(1+$M$123)</f>
        <v>0</v>
      </c>
      <c r="D125" s="322">
        <f>'6.Cons Profit &amp; Loss'!C11*(1+$M$123)</f>
        <v>0</v>
      </c>
      <c r="E125" s="322">
        <f>'6.Cons Profit &amp; Loss'!D11*(1+$M$123)</f>
        <v>0</v>
      </c>
      <c r="F125" s="322">
        <f>'6.Cons Profit &amp; Loss'!E11*(1+$M$123)</f>
        <v>0</v>
      </c>
      <c r="G125" s="322">
        <f>'6.Cons Profit &amp; Loss'!F11*(1+$M$123)</f>
        <v>0</v>
      </c>
      <c r="H125" s="322">
        <f>'6.Cons Profit &amp; Loss'!G11*(1+$M$123)</f>
        <v>0</v>
      </c>
      <c r="I125" s="322">
        <f>'6.Cons Profit &amp; Loss'!H11*(1+$M$123)</f>
        <v>0</v>
      </c>
    </row>
    <row r="126" spans="2:18">
      <c r="B126" s="73" t="str">
        <f>'6.Cons Profit &amp; Loss'!A12</f>
        <v>Faclitiy 5 - Agri Input Centre</v>
      </c>
      <c r="C126" s="322">
        <f>'6.Cons Profit &amp; Loss'!B12*(1+$M$123)</f>
        <v>0</v>
      </c>
      <c r="D126" s="322">
        <f>'6.Cons Profit &amp; Loss'!C12*(1+$M$123)</f>
        <v>0</v>
      </c>
      <c r="E126" s="322">
        <f>'6.Cons Profit &amp; Loss'!D12*(1+$M$123)</f>
        <v>0</v>
      </c>
      <c r="F126" s="322">
        <f>'6.Cons Profit &amp; Loss'!E12*(1+$M$123)</f>
        <v>0</v>
      </c>
      <c r="G126" s="322">
        <f>'6.Cons Profit &amp; Loss'!F12*(1+$M$123)</f>
        <v>0</v>
      </c>
      <c r="H126" s="322">
        <f>'6.Cons Profit &amp; Loss'!G12*(1+$M$123)</f>
        <v>0</v>
      </c>
      <c r="I126" s="322">
        <f>'6.Cons Profit &amp; Loss'!H12*(1+$M$123)</f>
        <v>0</v>
      </c>
      <c r="K126" s="4"/>
    </row>
    <row r="127" spans="2:18">
      <c r="B127" s="73" t="str">
        <f>'6.Cons Profit &amp; Loss'!A13</f>
        <v>Facility 6 - Processing Unit - Horti Commodity</v>
      </c>
      <c r="C127" s="322">
        <f>'6.Cons Profit &amp; Loss'!B13*(1+$M$123)</f>
        <v>0</v>
      </c>
      <c r="D127" s="322">
        <f>'6.Cons Profit &amp; Loss'!C13*(1+$M$123)</f>
        <v>0</v>
      </c>
      <c r="E127" s="322">
        <f>'6.Cons Profit &amp; Loss'!D13*(1+$M$123)</f>
        <v>0</v>
      </c>
      <c r="F127" s="322">
        <f>'6.Cons Profit &amp; Loss'!E13*(1+$M$123)</f>
        <v>0</v>
      </c>
      <c r="G127" s="322">
        <f>'6.Cons Profit &amp; Loss'!F13*(1+$M$123)</f>
        <v>0</v>
      </c>
      <c r="H127" s="322">
        <f>'6.Cons Profit &amp; Loss'!G13*(1+$M$123)</f>
        <v>0</v>
      </c>
      <c r="I127" s="322">
        <f>'6.Cons Profit &amp; Loss'!H13*(1+$M$123)</f>
        <v>0</v>
      </c>
    </row>
    <row r="128" spans="2:18">
      <c r="B128" s="73">
        <f>'6.Cons Profit &amp; Loss'!A14</f>
        <v>0</v>
      </c>
      <c r="C128" s="322">
        <f>'6.Cons Profit &amp; Loss'!B14*(1+$M$123)</f>
        <v>0</v>
      </c>
      <c r="D128" s="322">
        <f>'6.Cons Profit &amp; Loss'!C14*(1+$M$123)</f>
        <v>0</v>
      </c>
      <c r="E128" s="322">
        <f>'6.Cons Profit &amp; Loss'!D14*(1+$M$123)</f>
        <v>0</v>
      </c>
      <c r="F128" s="322">
        <f>'6.Cons Profit &amp; Loss'!E14*(1+$M$123)</f>
        <v>0</v>
      </c>
      <c r="G128" s="322">
        <f>'6.Cons Profit &amp; Loss'!F14*(1+$M$123)</f>
        <v>0</v>
      </c>
      <c r="H128" s="322">
        <f>'6.Cons Profit &amp; Loss'!G14*(1+$M$123)</f>
        <v>0</v>
      </c>
      <c r="I128" s="322">
        <f>'6.Cons Profit &amp; Loss'!H14*(1+$M$123)</f>
        <v>0</v>
      </c>
    </row>
    <row r="129" spans="2:9">
      <c r="B129" s="73" t="s">
        <v>347</v>
      </c>
      <c r="C129" s="322">
        <f>SUM(C122:C128)</f>
        <v>63847231.349999994</v>
      </c>
      <c r="D129" s="322">
        <f t="shared" ref="D129:I129" si="14">SUM(D122:D128)</f>
        <v>76518803.989687502</v>
      </c>
      <c r="E129" s="322">
        <f t="shared" si="14"/>
        <v>89142108.141515628</v>
      </c>
      <c r="F129" s="322">
        <f t="shared" si="14"/>
        <v>102836445.69855237</v>
      </c>
      <c r="G129" s="322">
        <f t="shared" si="14"/>
        <v>117677361.74093899</v>
      </c>
      <c r="H129" s="322">
        <f t="shared" si="14"/>
        <v>133552304.50106789</v>
      </c>
      <c r="I129" s="322">
        <f t="shared" si="14"/>
        <v>150720548.13285726</v>
      </c>
    </row>
    <row r="130" spans="2:9">
      <c r="B130" s="73" t="s">
        <v>348</v>
      </c>
      <c r="C130" s="322"/>
      <c r="D130" s="322"/>
      <c r="E130" s="322"/>
      <c r="F130" s="322"/>
      <c r="G130" s="322"/>
      <c r="H130" s="322"/>
      <c r="I130" s="322"/>
    </row>
    <row r="131" spans="2:9">
      <c r="B131" s="73" t="s">
        <v>349</v>
      </c>
      <c r="C131" s="322">
        <f>'6.Cons Profit &amp; Loss'!B36</f>
        <v>1553200</v>
      </c>
      <c r="D131" s="322">
        <f>'6.Cons Profit &amp; Loss'!C36</f>
        <v>1630860</v>
      </c>
      <c r="E131" s="322">
        <f>'6.Cons Profit &amp; Loss'!D36</f>
        <v>1712403</v>
      </c>
      <c r="F131" s="322">
        <f>'6.Cons Profit &amp; Loss'!E36</f>
        <v>1798023.1500000001</v>
      </c>
      <c r="G131" s="322">
        <f>'6.Cons Profit &amp; Loss'!F36</f>
        <v>1887924.3075000001</v>
      </c>
      <c r="H131" s="322">
        <f>'6.Cons Profit &amp; Loss'!G36</f>
        <v>1982320.5228750005</v>
      </c>
      <c r="I131" s="322">
        <f>'6.Cons Profit &amp; Loss'!H36</f>
        <v>2081436.5490187509</v>
      </c>
    </row>
    <row r="132" spans="2:9">
      <c r="B132" s="73" t="s">
        <v>307</v>
      </c>
      <c r="C132" s="322">
        <f>'6.Cons Profit &amp; Loss'!B25*(1+M123)</f>
        <v>56469802.1259344</v>
      </c>
      <c r="D132" s="322">
        <f>'6.Cons Profit &amp; Loss'!C25*(1+N123)</f>
        <v>64538534.002481535</v>
      </c>
      <c r="E132" s="322">
        <f>'6.Cons Profit &amp; Loss'!D25*(1+O123)</f>
        <v>75240999.849302709</v>
      </c>
      <c r="F132" s="322">
        <f>'6.Cons Profit &amp; Loss'!E25*(1+P123)</f>
        <v>86852365.945799783</v>
      </c>
      <c r="G132" s="322">
        <f>'6.Cons Profit &amp; Loss'!F25*(1+Q123)</f>
        <v>99436766.152323321</v>
      </c>
      <c r="H132" s="322">
        <f>'6.Cons Profit &amp; Loss'!G25*(1+R123)</f>
        <v>113053286.23738472</v>
      </c>
      <c r="I132" s="322">
        <f>'6.Cons Profit &amp; Loss'!H25*(1+S123)</f>
        <v>127782866.41557145</v>
      </c>
    </row>
    <row r="133" spans="2:9">
      <c r="B133" s="73" t="s">
        <v>350</v>
      </c>
      <c r="C133" s="322">
        <f t="shared" ref="C133:I133" si="15">SUM(C131:C132)</f>
        <v>58023002.1259344</v>
      </c>
      <c r="D133" s="322">
        <f t="shared" si="15"/>
        <v>66169394.002481535</v>
      </c>
      <c r="E133" s="322">
        <f t="shared" si="15"/>
        <v>76953402.849302709</v>
      </c>
      <c r="F133" s="322">
        <f t="shared" si="15"/>
        <v>88650389.095799789</v>
      </c>
      <c r="G133" s="322">
        <f t="shared" si="15"/>
        <v>101324690.45982333</v>
      </c>
      <c r="H133" s="322">
        <f t="shared" si="15"/>
        <v>115035606.76025972</v>
      </c>
      <c r="I133" s="322">
        <f t="shared" si="15"/>
        <v>129864302.96459021</v>
      </c>
    </row>
    <row r="134" spans="2:9">
      <c r="B134" s="75" t="s">
        <v>351</v>
      </c>
      <c r="C134" s="324">
        <f t="shared" ref="C134:I134" si="16">+C129-C133</f>
        <v>5824229.2240655944</v>
      </c>
      <c r="D134" s="324">
        <f t="shared" si="16"/>
        <v>10349409.987205967</v>
      </c>
      <c r="E134" s="324">
        <f t="shared" si="16"/>
        <v>12188705.292212918</v>
      </c>
      <c r="F134" s="324">
        <f t="shared" si="16"/>
        <v>14186056.602752581</v>
      </c>
      <c r="G134" s="324">
        <f t="shared" si="16"/>
        <v>16352671.281115666</v>
      </c>
      <c r="H134" s="324">
        <f t="shared" si="16"/>
        <v>18516697.740808174</v>
      </c>
      <c r="I134" s="324">
        <f t="shared" si="16"/>
        <v>20856245.168267056</v>
      </c>
    </row>
    <row r="135" spans="2:9">
      <c r="B135" s="76"/>
      <c r="C135" s="77"/>
      <c r="D135" s="77"/>
      <c r="E135" s="77"/>
      <c r="F135" s="77"/>
      <c r="G135" s="77"/>
      <c r="H135" s="77"/>
      <c r="I135" s="77"/>
    </row>
    <row r="136" spans="2:9">
      <c r="B136" s="79" t="s">
        <v>352</v>
      </c>
      <c r="C136" s="80" t="s">
        <v>2</v>
      </c>
      <c r="D136" s="80" t="s">
        <v>3</v>
      </c>
      <c r="E136" s="80" t="s">
        <v>4</v>
      </c>
      <c r="F136" s="80" t="s">
        <v>5</v>
      </c>
      <c r="G136" s="80" t="s">
        <v>6</v>
      </c>
      <c r="H136" s="80" t="s">
        <v>169</v>
      </c>
      <c r="I136" s="80" t="s">
        <v>168</v>
      </c>
    </row>
    <row r="137" spans="2:9">
      <c r="B137" s="73" t="str">
        <f t="shared" ref="B137:B143" si="17">B122</f>
        <v>Activity 1 - Cleaning &amp; Grading</v>
      </c>
      <c r="C137" s="74">
        <f>'6.Cons Profit &amp; Loss'!B8</f>
        <v>58502886.999999993</v>
      </c>
      <c r="D137" s="74">
        <f>'6.Cons Profit &amp; Loss'!C8</f>
        <v>70304651.418750003</v>
      </c>
      <c r="E137" s="74">
        <f>'6.Cons Profit &amp; Loss'!D8</f>
        <v>82039565.849062502</v>
      </c>
      <c r="F137" s="74">
        <f>'6.Cons Profit &amp; Loss'!E8</f>
        <v>94772210.093859389</v>
      </c>
      <c r="G137" s="74">
        <f>'6.Cons Profit &amp; Loss'!F8</f>
        <v>108573019.84851332</v>
      </c>
      <c r="H137" s="74">
        <f>'6.Cons Profit &amp; Loss'!G8</f>
        <v>123516980.05339798</v>
      </c>
      <c r="I137" s="74">
        <f>'6.Cons Profit &amp; Loss'!H8</f>
        <v>139683903.72914979</v>
      </c>
    </row>
    <row r="138" spans="2:9">
      <c r="B138" s="73" t="str">
        <f t="shared" si="17"/>
        <v>Activity 2 - Cold Press Oil</v>
      </c>
      <c r="C138" s="74">
        <f>'6.Cons Profit &amp; Loss'!B9</f>
        <v>0</v>
      </c>
      <c r="D138" s="74">
        <f>'6.Cons Profit &amp; Loss'!C9</f>
        <v>0</v>
      </c>
      <c r="E138" s="74">
        <f>'6.Cons Profit &amp; Loss'!D9</f>
        <v>0</v>
      </c>
      <c r="F138" s="74">
        <f>'6.Cons Profit &amp; Loss'!E9</f>
        <v>0</v>
      </c>
      <c r="G138" s="74">
        <f>'6.Cons Profit &amp; Loss'!F9</f>
        <v>0</v>
      </c>
      <c r="H138" s="74">
        <f>'6.Cons Profit &amp; Loss'!G9</f>
        <v>0</v>
      </c>
      <c r="I138" s="74">
        <f>'6.Cons Profit &amp; Loss'!H9</f>
        <v>0</v>
      </c>
    </row>
    <row r="139" spans="2:9">
      <c r="B139" s="73" t="str">
        <f t="shared" si="17"/>
        <v>Activity 2 - Warehouse</v>
      </c>
      <c r="C139" s="74">
        <f>'6.Cons Profit &amp; Loss'!B10</f>
        <v>2304000</v>
      </c>
      <c r="D139" s="74">
        <f>'6.Cons Profit &amp; Loss'!C10</f>
        <v>2570400.0000000005</v>
      </c>
      <c r="E139" s="74">
        <f>'6.Cons Profit &amp; Loss'!D10</f>
        <v>2857680.0000000005</v>
      </c>
      <c r="F139" s="74">
        <f>'6.Cons Profit &amp; Loss'!E10</f>
        <v>3167262.0000000014</v>
      </c>
      <c r="G139" s="74">
        <f>'6.Cons Profit &amp; Loss'!F10</f>
        <v>3500658.0000000019</v>
      </c>
      <c r="H139" s="74">
        <f>'6.Cons Profit &amp; Loss'!G10</f>
        <v>3675690.9000000022</v>
      </c>
      <c r="I139" s="74">
        <f>'6.Cons Profit &amp; Loss'!H10</f>
        <v>3859475.4450000026</v>
      </c>
    </row>
    <row r="140" spans="2:9">
      <c r="B140" s="73" t="str">
        <f t="shared" si="17"/>
        <v xml:space="preserve">Faclitiy 4 - Custom Hiring </v>
      </c>
      <c r="C140" s="74">
        <f>'6.Cons Profit &amp; Loss'!B11</f>
        <v>0</v>
      </c>
      <c r="D140" s="74">
        <f>'6.Cons Profit &amp; Loss'!C11</f>
        <v>0</v>
      </c>
      <c r="E140" s="74">
        <f>'6.Cons Profit &amp; Loss'!D11</f>
        <v>0</v>
      </c>
      <c r="F140" s="74">
        <f>'6.Cons Profit &amp; Loss'!E11</f>
        <v>0</v>
      </c>
      <c r="G140" s="74">
        <f>'6.Cons Profit &amp; Loss'!F11</f>
        <v>0</v>
      </c>
      <c r="H140" s="74">
        <f>'6.Cons Profit &amp; Loss'!G11</f>
        <v>0</v>
      </c>
      <c r="I140" s="74">
        <f>'6.Cons Profit &amp; Loss'!H11</f>
        <v>0</v>
      </c>
    </row>
    <row r="141" spans="2:9">
      <c r="B141" s="73" t="str">
        <f t="shared" si="17"/>
        <v>Faclitiy 5 - Agri Input Centre</v>
      </c>
      <c r="C141" s="74">
        <f>'6.Cons Profit &amp; Loss'!B12</f>
        <v>0</v>
      </c>
      <c r="D141" s="74">
        <f>'6.Cons Profit &amp; Loss'!C12</f>
        <v>0</v>
      </c>
      <c r="E141" s="74">
        <f>'6.Cons Profit &amp; Loss'!D12</f>
        <v>0</v>
      </c>
      <c r="F141" s="74">
        <f>'6.Cons Profit &amp; Loss'!E12</f>
        <v>0</v>
      </c>
      <c r="G141" s="74">
        <f>'6.Cons Profit &amp; Loss'!F12</f>
        <v>0</v>
      </c>
      <c r="H141" s="74">
        <f>'6.Cons Profit &amp; Loss'!G12</f>
        <v>0</v>
      </c>
      <c r="I141" s="74">
        <f>'6.Cons Profit &amp; Loss'!H12</f>
        <v>0</v>
      </c>
    </row>
    <row r="142" spans="2:9">
      <c r="B142" s="73" t="str">
        <f t="shared" si="17"/>
        <v>Facility 6 - Processing Unit - Horti Commodity</v>
      </c>
      <c r="C142" s="74">
        <f>'6.Cons Profit &amp; Loss'!B13</f>
        <v>0</v>
      </c>
      <c r="D142" s="74">
        <f>'6.Cons Profit &amp; Loss'!C13</f>
        <v>0</v>
      </c>
      <c r="E142" s="74">
        <f>'6.Cons Profit &amp; Loss'!D13</f>
        <v>0</v>
      </c>
      <c r="F142" s="74">
        <f>'6.Cons Profit &amp; Loss'!E13</f>
        <v>0</v>
      </c>
      <c r="G142" s="74">
        <f>'6.Cons Profit &amp; Loss'!F13</f>
        <v>0</v>
      </c>
      <c r="H142" s="74">
        <f>'6.Cons Profit &amp; Loss'!G13</f>
        <v>0</v>
      </c>
      <c r="I142" s="74">
        <f>'6.Cons Profit &amp; Loss'!H13</f>
        <v>0</v>
      </c>
    </row>
    <row r="143" spans="2:9">
      <c r="B143" s="73">
        <f t="shared" si="17"/>
        <v>0</v>
      </c>
      <c r="C143" s="74">
        <f>'6.Cons Profit &amp; Loss'!B14</f>
        <v>0</v>
      </c>
      <c r="D143" s="74">
        <f>'6.Cons Profit &amp; Loss'!C14</f>
        <v>0</v>
      </c>
      <c r="E143" s="74">
        <f>'6.Cons Profit &amp; Loss'!D14</f>
        <v>0</v>
      </c>
      <c r="F143" s="74">
        <f>'6.Cons Profit &amp; Loss'!E14</f>
        <v>0</v>
      </c>
      <c r="G143" s="74">
        <f>'6.Cons Profit &amp; Loss'!F14</f>
        <v>0</v>
      </c>
      <c r="H143" s="74">
        <f>'6.Cons Profit &amp; Loss'!G14</f>
        <v>0</v>
      </c>
      <c r="I143" s="74">
        <f>'6.Cons Profit &amp; Loss'!H14</f>
        <v>0</v>
      </c>
    </row>
    <row r="144" spans="2:9">
      <c r="B144" s="73" t="s">
        <v>347</v>
      </c>
      <c r="C144" s="74">
        <f>SUM(C137:C143)</f>
        <v>60806886.999999993</v>
      </c>
      <c r="D144" s="74">
        <f t="shared" ref="D144:I144" si="18">SUM(D137:D143)</f>
        <v>72875051.418750003</v>
      </c>
      <c r="E144" s="74">
        <f t="shared" si="18"/>
        <v>84897245.849062502</v>
      </c>
      <c r="F144" s="74">
        <f t="shared" si="18"/>
        <v>97939472.093859389</v>
      </c>
      <c r="G144" s="74">
        <f t="shared" si="18"/>
        <v>112073677.84851332</v>
      </c>
      <c r="H144" s="74">
        <f t="shared" si="18"/>
        <v>127192670.95339799</v>
      </c>
      <c r="I144" s="74">
        <f t="shared" si="18"/>
        <v>143543379.17414978</v>
      </c>
    </row>
    <row r="145" spans="2:15">
      <c r="B145" s="73" t="s">
        <v>348</v>
      </c>
      <c r="C145" s="78"/>
      <c r="D145" s="74"/>
      <c r="E145" s="74"/>
      <c r="F145" s="74"/>
      <c r="G145" s="74"/>
      <c r="H145" s="74"/>
      <c r="I145" s="74"/>
    </row>
    <row r="146" spans="2:15">
      <c r="B146" s="73" t="s">
        <v>349</v>
      </c>
      <c r="C146" s="322">
        <f>'6.Cons Profit &amp; Loss'!B36</f>
        <v>1553200</v>
      </c>
      <c r="D146" s="322">
        <f>'6.Cons Profit &amp; Loss'!C36</f>
        <v>1630860</v>
      </c>
      <c r="E146" s="322">
        <f>'6.Cons Profit &amp; Loss'!D36</f>
        <v>1712403</v>
      </c>
      <c r="F146" s="322">
        <f>'6.Cons Profit &amp; Loss'!E36</f>
        <v>1798023.1500000001</v>
      </c>
      <c r="G146" s="322">
        <f>'6.Cons Profit &amp; Loss'!F36</f>
        <v>1887924.3075000001</v>
      </c>
      <c r="H146" s="322">
        <f>'6.Cons Profit &amp; Loss'!G36</f>
        <v>1982320.5228750005</v>
      </c>
      <c r="I146" s="322">
        <f>'6.Cons Profit &amp; Loss'!H36</f>
        <v>2081436.5490187509</v>
      </c>
    </row>
    <row r="147" spans="2:15">
      <c r="B147" s="73" t="s">
        <v>307</v>
      </c>
      <c r="C147" s="322">
        <f>'6.Cons Profit &amp; Loss'!B25*(1+$M$124)</f>
        <v>56469802.1259344</v>
      </c>
      <c r="D147" s="322">
        <f>'6.Cons Profit &amp; Loss'!C25*(1+$M$124)</f>
        <v>67765460.70260562</v>
      </c>
      <c r="E147" s="322">
        <f>'6.Cons Profit &amp; Loss'!D25*(1+$M$124)</f>
        <v>79003049.841767848</v>
      </c>
      <c r="F147" s="322">
        <f>'6.Cons Profit &amp; Loss'!E25*(1+$M$124)</f>
        <v>91194984.24308978</v>
      </c>
      <c r="G147" s="322">
        <f>'6.Cons Profit &amp; Loss'!F25*(1+$M$124)</f>
        <v>104408604.45993949</v>
      </c>
      <c r="H147" s="322">
        <f>'6.Cons Profit &amp; Loss'!G25*(1+$M$124)</f>
        <v>118705950.54925396</v>
      </c>
      <c r="I147" s="322">
        <f>'6.Cons Profit &amp; Loss'!H25*(1+$M$124)</f>
        <v>134172009.73635003</v>
      </c>
    </row>
    <row r="148" spans="2:15">
      <c r="B148" s="73" t="s">
        <v>350</v>
      </c>
      <c r="C148" s="322">
        <f t="shared" ref="C148:I148" si="19">SUM(C146:C147)</f>
        <v>58023002.1259344</v>
      </c>
      <c r="D148" s="322">
        <f t="shared" si="19"/>
        <v>69396320.70260562</v>
      </c>
      <c r="E148" s="322">
        <f t="shared" si="19"/>
        <v>80715452.841767848</v>
      </c>
      <c r="F148" s="322">
        <f t="shared" si="19"/>
        <v>92993007.393089786</v>
      </c>
      <c r="G148" s="322">
        <f t="shared" si="19"/>
        <v>106296528.7674395</v>
      </c>
      <c r="H148" s="322">
        <f t="shared" si="19"/>
        <v>120688271.07212895</v>
      </c>
      <c r="I148" s="322">
        <f t="shared" si="19"/>
        <v>136253446.28536877</v>
      </c>
    </row>
    <row r="149" spans="2:15">
      <c r="B149" s="75" t="s">
        <v>351</v>
      </c>
      <c r="C149" s="324">
        <f t="shared" ref="C149:I149" si="20">+C144-C148</f>
        <v>2783884.8740655929</v>
      </c>
      <c r="D149" s="324">
        <f t="shared" si="20"/>
        <v>3478730.716144383</v>
      </c>
      <c r="E149" s="324">
        <f t="shared" si="20"/>
        <v>4181793.0072946548</v>
      </c>
      <c r="F149" s="324">
        <f t="shared" si="20"/>
        <v>4946464.7007696033</v>
      </c>
      <c r="G149" s="324">
        <f t="shared" si="20"/>
        <v>5777149.0810738206</v>
      </c>
      <c r="H149" s="324">
        <f t="shared" si="20"/>
        <v>6504399.8812690377</v>
      </c>
      <c r="I149" s="324">
        <f t="shared" si="20"/>
        <v>7289932.8887810111</v>
      </c>
      <c r="N149" s="4"/>
      <c r="O149" s="6"/>
    </row>
    <row r="150" spans="2:15">
      <c r="B150" s="76"/>
      <c r="C150" s="77"/>
      <c r="D150" s="77"/>
      <c r="E150" s="77"/>
      <c r="F150" s="77"/>
      <c r="G150" s="77"/>
      <c r="H150" s="77"/>
      <c r="I150" s="77"/>
    </row>
    <row r="151" spans="2:15">
      <c r="B151" s="79" t="s">
        <v>353</v>
      </c>
      <c r="C151" s="80" t="s">
        <v>2</v>
      </c>
      <c r="D151" s="80" t="s">
        <v>3</v>
      </c>
      <c r="E151" s="80" t="s">
        <v>4</v>
      </c>
      <c r="F151" s="80" t="s">
        <v>5</v>
      </c>
      <c r="G151" s="80" t="s">
        <v>6</v>
      </c>
      <c r="H151" s="80" t="s">
        <v>169</v>
      </c>
      <c r="I151" s="80" t="s">
        <v>168</v>
      </c>
    </row>
    <row r="152" spans="2:15">
      <c r="B152" s="73" t="str">
        <f t="shared" ref="B152:B158" si="21">B137</f>
        <v>Activity 1 - Cleaning &amp; Grading</v>
      </c>
      <c r="C152" s="322">
        <f>'6.Cons Profit &amp; Loss'!B8*(1-$M$123)</f>
        <v>55577742.649999991</v>
      </c>
      <c r="D152" s="322">
        <f>'6.Cons Profit &amp; Loss'!C8*(1-$M$123)</f>
        <v>66789418.847812496</v>
      </c>
      <c r="E152" s="322">
        <f>'6.Cons Profit &amp; Loss'!D8*(1-$M$123)</f>
        <v>77937587.556609377</v>
      </c>
      <c r="F152" s="322">
        <f>'6.Cons Profit &amp; Loss'!E8*(1-$M$123)</f>
        <v>90033599.589166418</v>
      </c>
      <c r="G152" s="322">
        <f>'6.Cons Profit &amp; Loss'!F8*(1-$M$123)</f>
        <v>103144368.85608765</v>
      </c>
      <c r="H152" s="322">
        <f>'6.Cons Profit &amp; Loss'!G8*(1-$M$123)</f>
        <v>117341131.05072808</v>
      </c>
      <c r="I152" s="322">
        <f>'6.Cons Profit &amp; Loss'!H8*(1-$M$123)</f>
        <v>132699708.54269229</v>
      </c>
    </row>
    <row r="153" spans="2:15">
      <c r="B153" s="73" t="str">
        <f t="shared" si="21"/>
        <v>Activity 2 - Cold Press Oil</v>
      </c>
      <c r="C153" s="322">
        <f>'6.Cons Profit &amp; Loss'!B9*(1-$M$123)</f>
        <v>0</v>
      </c>
      <c r="D153" s="322">
        <f>'6.Cons Profit &amp; Loss'!C9*(1-$M$123)</f>
        <v>0</v>
      </c>
      <c r="E153" s="322">
        <f>'6.Cons Profit &amp; Loss'!D9*(1-$M$123)</f>
        <v>0</v>
      </c>
      <c r="F153" s="322">
        <f>'6.Cons Profit &amp; Loss'!E9*(1-$M$123)</f>
        <v>0</v>
      </c>
      <c r="G153" s="322">
        <f>'6.Cons Profit &amp; Loss'!F9*(1-$M$123)</f>
        <v>0</v>
      </c>
      <c r="H153" s="322">
        <f>'6.Cons Profit &amp; Loss'!G9*(1-$M$123)</f>
        <v>0</v>
      </c>
      <c r="I153" s="322">
        <f>'6.Cons Profit &amp; Loss'!H9*(1-$M$123)</f>
        <v>0</v>
      </c>
    </row>
    <row r="154" spans="2:15">
      <c r="B154" s="73" t="str">
        <f t="shared" si="21"/>
        <v>Activity 2 - Warehouse</v>
      </c>
      <c r="C154" s="322">
        <f>'6.Cons Profit &amp; Loss'!B10*(1-$M$123)</f>
        <v>2188800</v>
      </c>
      <c r="D154" s="322">
        <f>'6.Cons Profit &amp; Loss'!C10*(1-$M$123)</f>
        <v>2441880.0000000005</v>
      </c>
      <c r="E154" s="322">
        <f>'6.Cons Profit &amp; Loss'!D10*(1-$M$123)</f>
        <v>2714796.0000000005</v>
      </c>
      <c r="F154" s="322">
        <f>'6.Cons Profit &amp; Loss'!E10*(1-$M$123)</f>
        <v>3008898.9000000013</v>
      </c>
      <c r="G154" s="322">
        <f>'6.Cons Profit &amp; Loss'!F10*(1-$M$123)</f>
        <v>3325625.1000000015</v>
      </c>
      <c r="H154" s="322">
        <f>'6.Cons Profit &amp; Loss'!G10*(1-$M$123)</f>
        <v>3491906.3550000018</v>
      </c>
      <c r="I154" s="322">
        <f>'6.Cons Profit &amp; Loss'!H10*(1-$M$123)</f>
        <v>3666501.6727500022</v>
      </c>
    </row>
    <row r="155" spans="2:15">
      <c r="B155" s="73" t="str">
        <f t="shared" si="21"/>
        <v xml:space="preserve">Faclitiy 4 - Custom Hiring </v>
      </c>
      <c r="C155" s="322">
        <f>'6.Cons Profit &amp; Loss'!B11*(1-$M$123)</f>
        <v>0</v>
      </c>
      <c r="D155" s="322">
        <f>'6.Cons Profit &amp; Loss'!C11*(1-$M$123)</f>
        <v>0</v>
      </c>
      <c r="E155" s="322">
        <f>'6.Cons Profit &amp; Loss'!D11*(1-$M$123)</f>
        <v>0</v>
      </c>
      <c r="F155" s="322">
        <f>'6.Cons Profit &amp; Loss'!E11*(1-$M$123)</f>
        <v>0</v>
      </c>
      <c r="G155" s="322">
        <f>'6.Cons Profit &amp; Loss'!F11*(1-$M$123)</f>
        <v>0</v>
      </c>
      <c r="H155" s="322">
        <f>'6.Cons Profit &amp; Loss'!G11*(1-$M$123)</f>
        <v>0</v>
      </c>
      <c r="I155" s="322">
        <f>'6.Cons Profit &amp; Loss'!H11*(1-$M$123)</f>
        <v>0</v>
      </c>
    </row>
    <row r="156" spans="2:15">
      <c r="B156" s="73" t="str">
        <f t="shared" si="21"/>
        <v>Faclitiy 5 - Agri Input Centre</v>
      </c>
      <c r="C156" s="322">
        <f>'6.Cons Profit &amp; Loss'!B12*(1-$M$123)</f>
        <v>0</v>
      </c>
      <c r="D156" s="322">
        <f>'6.Cons Profit &amp; Loss'!C12*(1-$M$123)</f>
        <v>0</v>
      </c>
      <c r="E156" s="322">
        <f>'6.Cons Profit &amp; Loss'!D12*(1-$M$123)</f>
        <v>0</v>
      </c>
      <c r="F156" s="322">
        <f>'6.Cons Profit &amp; Loss'!E12*(1-$M$123)</f>
        <v>0</v>
      </c>
      <c r="G156" s="322">
        <f>'6.Cons Profit &amp; Loss'!F12*(1-$M$123)</f>
        <v>0</v>
      </c>
      <c r="H156" s="322">
        <f>'6.Cons Profit &amp; Loss'!G12*(1-$M$123)</f>
        <v>0</v>
      </c>
      <c r="I156" s="322">
        <f>'6.Cons Profit &amp; Loss'!H12*(1-$M$123)</f>
        <v>0</v>
      </c>
    </row>
    <row r="157" spans="2:15">
      <c r="B157" s="73" t="str">
        <f t="shared" si="21"/>
        <v>Facility 6 - Processing Unit - Horti Commodity</v>
      </c>
      <c r="C157" s="322">
        <f>'6.Cons Profit &amp; Loss'!B13*(1-$M$123)</f>
        <v>0</v>
      </c>
      <c r="D157" s="322">
        <f>'6.Cons Profit &amp; Loss'!C13*(1-$M$123)</f>
        <v>0</v>
      </c>
      <c r="E157" s="322">
        <f>'6.Cons Profit &amp; Loss'!D13*(1-$M$123)</f>
        <v>0</v>
      </c>
      <c r="F157" s="322">
        <f>'6.Cons Profit &amp; Loss'!E13*(1-$M$123)</f>
        <v>0</v>
      </c>
      <c r="G157" s="322">
        <f>'6.Cons Profit &amp; Loss'!F13*(1-$M$123)</f>
        <v>0</v>
      </c>
      <c r="H157" s="322">
        <f>'6.Cons Profit &amp; Loss'!G13*(1-$M$123)</f>
        <v>0</v>
      </c>
      <c r="I157" s="322">
        <f>'6.Cons Profit &amp; Loss'!H13*(1-$M$123)</f>
        <v>0</v>
      </c>
    </row>
    <row r="158" spans="2:15">
      <c r="B158" s="73">
        <f t="shared" si="21"/>
        <v>0</v>
      </c>
      <c r="C158" s="322">
        <f>'6.Cons Profit &amp; Loss'!B14*(1-$M$123)</f>
        <v>0</v>
      </c>
      <c r="D158" s="322">
        <f>'6.Cons Profit &amp; Loss'!C14*(1-$M$123)</f>
        <v>0</v>
      </c>
      <c r="E158" s="322">
        <f>'6.Cons Profit &amp; Loss'!D14*(1-$M$123)</f>
        <v>0</v>
      </c>
      <c r="F158" s="322">
        <f>'6.Cons Profit &amp; Loss'!E14*(1-$M$123)</f>
        <v>0</v>
      </c>
      <c r="G158" s="322">
        <f>'6.Cons Profit &amp; Loss'!F14*(1-$M$123)</f>
        <v>0</v>
      </c>
      <c r="H158" s="322">
        <f>'6.Cons Profit &amp; Loss'!G14*(1-$M$123)</f>
        <v>0</v>
      </c>
      <c r="I158" s="322">
        <f>'6.Cons Profit &amp; Loss'!H14*(1-$M$123)</f>
        <v>0</v>
      </c>
    </row>
    <row r="159" spans="2:15">
      <c r="B159" s="73" t="s">
        <v>347</v>
      </c>
      <c r="C159" s="322">
        <f>SUM(C152:C158)</f>
        <v>57766542.649999991</v>
      </c>
      <c r="D159" s="322">
        <f t="shared" ref="D159:I159" si="22">SUM(D152:D158)</f>
        <v>69231298.847812504</v>
      </c>
      <c r="E159" s="322">
        <f t="shared" si="22"/>
        <v>80652383.556609377</v>
      </c>
      <c r="F159" s="322">
        <f t="shared" si="22"/>
        <v>93042498.489166424</v>
      </c>
      <c r="G159" s="322">
        <f t="shared" si="22"/>
        <v>106469993.95608765</v>
      </c>
      <c r="H159" s="322">
        <f t="shared" si="22"/>
        <v>120833037.40572809</v>
      </c>
      <c r="I159" s="322">
        <f t="shared" si="22"/>
        <v>136366210.2154423</v>
      </c>
    </row>
    <row r="160" spans="2:15">
      <c r="B160" s="73" t="s">
        <v>348</v>
      </c>
      <c r="C160" s="322"/>
      <c r="D160" s="322"/>
      <c r="E160" s="322"/>
      <c r="F160" s="322"/>
      <c r="G160" s="322"/>
      <c r="H160" s="322"/>
      <c r="I160" s="322"/>
    </row>
    <row r="161" spans="2:9">
      <c r="B161" s="73" t="s">
        <v>349</v>
      </c>
      <c r="C161" s="322">
        <f>'6.Cons Profit &amp; Loss'!B36</f>
        <v>1553200</v>
      </c>
      <c r="D161" s="322">
        <f>'6.Cons Profit &amp; Loss'!C36</f>
        <v>1630860</v>
      </c>
      <c r="E161" s="322">
        <f>'6.Cons Profit &amp; Loss'!D36</f>
        <v>1712403</v>
      </c>
      <c r="F161" s="322">
        <f>'6.Cons Profit &amp; Loss'!E36</f>
        <v>1798023.1500000001</v>
      </c>
      <c r="G161" s="322">
        <f>'6.Cons Profit &amp; Loss'!F36</f>
        <v>1887924.3075000001</v>
      </c>
      <c r="H161" s="322">
        <f>'6.Cons Profit &amp; Loss'!G36</f>
        <v>1982320.5228750005</v>
      </c>
      <c r="I161" s="322">
        <f>'6.Cons Profit &amp; Loss'!H36</f>
        <v>2081436.5490187509</v>
      </c>
    </row>
    <row r="162" spans="2:9">
      <c r="B162" s="73" t="s">
        <v>307</v>
      </c>
      <c r="C162" s="322">
        <f>'6.Cons Profit &amp; Loss'!B25*(1-$M$123)</f>
        <v>51091725.732988261</v>
      </c>
      <c r="D162" s="322">
        <f>'6.Cons Profit &amp; Loss'!C25*(1-$M$123)</f>
        <v>61311607.302357458</v>
      </c>
      <c r="E162" s="322">
        <f>'6.Cons Profit &amp; Loss'!D25*(1-$M$123)</f>
        <v>71478949.856837571</v>
      </c>
      <c r="F162" s="322">
        <f>'6.Cons Profit &amp; Loss'!E25*(1-$M$123)</f>
        <v>82509747.648509786</v>
      </c>
      <c r="G162" s="322">
        <f>'6.Cons Profit &amp; Loss'!F25*(1-$M$123)</f>
        <v>94464927.844707146</v>
      </c>
      <c r="H162" s="322">
        <f>'6.Cons Profit &amp; Loss'!G25*(1-$M$123)</f>
        <v>107400621.92551549</v>
      </c>
      <c r="I162" s="322">
        <f>'6.Cons Profit &amp; Loss'!H25*(1-$M$123)</f>
        <v>121393723.09479287</v>
      </c>
    </row>
    <row r="163" spans="2:9">
      <c r="B163" s="73" t="s">
        <v>350</v>
      </c>
      <c r="C163" s="322">
        <f t="shared" ref="C163:I163" si="23">SUM(C161:C162)</f>
        <v>52644925.732988261</v>
      </c>
      <c r="D163" s="322">
        <f t="shared" si="23"/>
        <v>62942467.302357458</v>
      </c>
      <c r="E163" s="322">
        <f t="shared" si="23"/>
        <v>73191352.856837571</v>
      </c>
      <c r="F163" s="322">
        <f t="shared" si="23"/>
        <v>84307770.798509791</v>
      </c>
      <c r="G163" s="322">
        <f t="shared" si="23"/>
        <v>96352852.152207151</v>
      </c>
      <c r="H163" s="322">
        <f t="shared" si="23"/>
        <v>109382942.44839048</v>
      </c>
      <c r="I163" s="322">
        <f t="shared" si="23"/>
        <v>123475159.64381163</v>
      </c>
    </row>
    <row r="164" spans="2:9">
      <c r="B164" s="75" t="s">
        <v>351</v>
      </c>
      <c r="C164" s="324">
        <f t="shared" ref="C164:I164" si="24">+C159-C163</f>
        <v>5121616.9170117304</v>
      </c>
      <c r="D164" s="324">
        <f t="shared" si="24"/>
        <v>6288831.545455046</v>
      </c>
      <c r="E164" s="324">
        <f t="shared" si="24"/>
        <v>7461030.6997718066</v>
      </c>
      <c r="F164" s="324">
        <f t="shared" si="24"/>
        <v>8734727.6906566322</v>
      </c>
      <c r="G164" s="324">
        <f t="shared" si="24"/>
        <v>10117141.803880498</v>
      </c>
      <c r="H164" s="324">
        <f t="shared" si="24"/>
        <v>11450094.957337603</v>
      </c>
      <c r="I164" s="324">
        <f t="shared" si="24"/>
        <v>12891050.571630672</v>
      </c>
    </row>
    <row r="165" spans="2:9">
      <c r="B165" s="13"/>
      <c r="C165" s="77"/>
      <c r="D165" s="77"/>
      <c r="E165" s="77"/>
      <c r="F165" s="77"/>
      <c r="G165" s="77"/>
      <c r="H165" s="77"/>
      <c r="I165" s="77"/>
    </row>
    <row r="166" spans="2:9">
      <c r="B166" s="79" t="s">
        <v>354</v>
      </c>
      <c r="C166" s="80" t="s">
        <v>2</v>
      </c>
      <c r="D166" s="80" t="s">
        <v>3</v>
      </c>
      <c r="E166" s="80" t="s">
        <v>4</v>
      </c>
      <c r="F166" s="80" t="s">
        <v>5</v>
      </c>
      <c r="G166" s="80" t="s">
        <v>6</v>
      </c>
      <c r="H166" s="80" t="s">
        <v>169</v>
      </c>
      <c r="I166" s="80" t="s">
        <v>168</v>
      </c>
    </row>
    <row r="167" spans="2:9">
      <c r="B167" s="73" t="str">
        <f t="shared" ref="B167:B173" si="25">B152</f>
        <v>Activity 1 - Cleaning &amp; Grading</v>
      </c>
      <c r="C167" s="74">
        <f>'6.Cons Profit &amp; Loss'!B8</f>
        <v>58502886.999999993</v>
      </c>
      <c r="D167" s="74">
        <f>'6.Cons Profit &amp; Loss'!C8</f>
        <v>70304651.418750003</v>
      </c>
      <c r="E167" s="74">
        <f>'6.Cons Profit &amp; Loss'!D8</f>
        <v>82039565.849062502</v>
      </c>
      <c r="F167" s="74">
        <f>'6.Cons Profit &amp; Loss'!E8</f>
        <v>94772210.093859389</v>
      </c>
      <c r="G167" s="74">
        <f>'6.Cons Profit &amp; Loss'!F8</f>
        <v>108573019.84851332</v>
      </c>
      <c r="H167" s="74">
        <f>'6.Cons Profit &amp; Loss'!G8</f>
        <v>123516980.05339798</v>
      </c>
      <c r="I167" s="74">
        <f>'6.Cons Profit &amp; Loss'!H8</f>
        <v>139683903.72914979</v>
      </c>
    </row>
    <row r="168" spans="2:9">
      <c r="B168" s="73" t="str">
        <f t="shared" si="25"/>
        <v>Activity 2 - Cold Press Oil</v>
      </c>
      <c r="C168" s="74">
        <f>'6.Cons Profit &amp; Loss'!B9</f>
        <v>0</v>
      </c>
      <c r="D168" s="74">
        <f>'6.Cons Profit &amp; Loss'!C9</f>
        <v>0</v>
      </c>
      <c r="E168" s="74">
        <f>'6.Cons Profit &amp; Loss'!D9</f>
        <v>0</v>
      </c>
      <c r="F168" s="74">
        <f>'6.Cons Profit &amp; Loss'!E9</f>
        <v>0</v>
      </c>
      <c r="G168" s="74">
        <f>'6.Cons Profit &amp; Loss'!F9</f>
        <v>0</v>
      </c>
      <c r="H168" s="74">
        <f>'6.Cons Profit &amp; Loss'!G9</f>
        <v>0</v>
      </c>
      <c r="I168" s="74">
        <f>'6.Cons Profit &amp; Loss'!H9</f>
        <v>0</v>
      </c>
    </row>
    <row r="169" spans="2:9">
      <c r="B169" s="73" t="str">
        <f t="shared" si="25"/>
        <v>Activity 2 - Warehouse</v>
      </c>
      <c r="C169" s="74">
        <f>'6.Cons Profit &amp; Loss'!B10</f>
        <v>2304000</v>
      </c>
      <c r="D169" s="74">
        <f>'6.Cons Profit &amp; Loss'!C10</f>
        <v>2570400.0000000005</v>
      </c>
      <c r="E169" s="74">
        <f>'6.Cons Profit &amp; Loss'!D10</f>
        <v>2857680.0000000005</v>
      </c>
      <c r="F169" s="74">
        <f>'6.Cons Profit &amp; Loss'!E10</f>
        <v>3167262.0000000014</v>
      </c>
      <c r="G169" s="74">
        <f>'6.Cons Profit &amp; Loss'!F10</f>
        <v>3500658.0000000019</v>
      </c>
      <c r="H169" s="74">
        <f>'6.Cons Profit &amp; Loss'!G10</f>
        <v>3675690.9000000022</v>
      </c>
      <c r="I169" s="74">
        <f>'6.Cons Profit &amp; Loss'!H10</f>
        <v>3859475.4450000026</v>
      </c>
    </row>
    <row r="170" spans="2:9">
      <c r="B170" s="73" t="str">
        <f t="shared" si="25"/>
        <v xml:space="preserve">Faclitiy 4 - Custom Hiring </v>
      </c>
      <c r="C170" s="74">
        <f>'6.Cons Profit &amp; Loss'!B11</f>
        <v>0</v>
      </c>
      <c r="D170" s="74">
        <f>'6.Cons Profit &amp; Loss'!C11</f>
        <v>0</v>
      </c>
      <c r="E170" s="74">
        <f>'6.Cons Profit &amp; Loss'!D11</f>
        <v>0</v>
      </c>
      <c r="F170" s="74">
        <f>'6.Cons Profit &amp; Loss'!E11</f>
        <v>0</v>
      </c>
      <c r="G170" s="74">
        <f>'6.Cons Profit &amp; Loss'!F11</f>
        <v>0</v>
      </c>
      <c r="H170" s="74">
        <f>'6.Cons Profit &amp; Loss'!G11</f>
        <v>0</v>
      </c>
      <c r="I170" s="74">
        <f>'6.Cons Profit &amp; Loss'!H11</f>
        <v>0</v>
      </c>
    </row>
    <row r="171" spans="2:9">
      <c r="B171" s="73" t="str">
        <f t="shared" si="25"/>
        <v>Faclitiy 5 - Agri Input Centre</v>
      </c>
      <c r="C171" s="74">
        <f>'6.Cons Profit &amp; Loss'!B12</f>
        <v>0</v>
      </c>
      <c r="D171" s="74">
        <f>'6.Cons Profit &amp; Loss'!C12</f>
        <v>0</v>
      </c>
      <c r="E171" s="74">
        <f>'6.Cons Profit &amp; Loss'!D12</f>
        <v>0</v>
      </c>
      <c r="F171" s="74">
        <f>'6.Cons Profit &amp; Loss'!E12</f>
        <v>0</v>
      </c>
      <c r="G171" s="74">
        <f>'6.Cons Profit &amp; Loss'!F12</f>
        <v>0</v>
      </c>
      <c r="H171" s="74">
        <f>'6.Cons Profit &amp; Loss'!G12</f>
        <v>0</v>
      </c>
      <c r="I171" s="74">
        <f>'6.Cons Profit &amp; Loss'!H12</f>
        <v>0</v>
      </c>
    </row>
    <row r="172" spans="2:9">
      <c r="B172" s="73" t="str">
        <f t="shared" si="25"/>
        <v>Facility 6 - Processing Unit - Horti Commodity</v>
      </c>
      <c r="C172" s="74">
        <f>'6.Cons Profit &amp; Loss'!B13</f>
        <v>0</v>
      </c>
      <c r="D172" s="74">
        <f>'6.Cons Profit &amp; Loss'!C13</f>
        <v>0</v>
      </c>
      <c r="E172" s="74">
        <f>'6.Cons Profit &amp; Loss'!D13</f>
        <v>0</v>
      </c>
      <c r="F172" s="74">
        <f>'6.Cons Profit &amp; Loss'!E13</f>
        <v>0</v>
      </c>
      <c r="G172" s="74">
        <f>'6.Cons Profit &amp; Loss'!F13</f>
        <v>0</v>
      </c>
      <c r="H172" s="74">
        <f>'6.Cons Profit &amp; Loss'!G13</f>
        <v>0</v>
      </c>
      <c r="I172" s="74">
        <f>'6.Cons Profit &amp; Loss'!H13</f>
        <v>0</v>
      </c>
    </row>
    <row r="173" spans="2:9">
      <c r="B173" s="73">
        <f t="shared" si="25"/>
        <v>0</v>
      </c>
      <c r="C173" s="74">
        <f>'6.Cons Profit &amp; Loss'!B14</f>
        <v>0</v>
      </c>
      <c r="D173" s="74">
        <f>'6.Cons Profit &amp; Loss'!C14</f>
        <v>0</v>
      </c>
      <c r="E173" s="74">
        <f>'6.Cons Profit &amp; Loss'!D14</f>
        <v>0</v>
      </c>
      <c r="F173" s="74">
        <f>'6.Cons Profit &amp; Loss'!E14</f>
        <v>0</v>
      </c>
      <c r="G173" s="74">
        <f>'6.Cons Profit &amp; Loss'!F14</f>
        <v>0</v>
      </c>
      <c r="H173" s="74">
        <f>'6.Cons Profit &amp; Loss'!G14</f>
        <v>0</v>
      </c>
      <c r="I173" s="74">
        <f>'6.Cons Profit &amp; Loss'!H14</f>
        <v>0</v>
      </c>
    </row>
    <row r="174" spans="2:9">
      <c r="B174" s="73" t="s">
        <v>347</v>
      </c>
      <c r="C174" s="74">
        <f>SUM(C167:C173)</f>
        <v>60806886.999999993</v>
      </c>
      <c r="D174" s="74">
        <f t="shared" ref="D174:I174" si="26">SUM(D167:D173)</f>
        <v>72875051.418750003</v>
      </c>
      <c r="E174" s="74">
        <f t="shared" si="26"/>
        <v>84897245.849062502</v>
      </c>
      <c r="F174" s="74">
        <f t="shared" si="26"/>
        <v>97939472.093859389</v>
      </c>
      <c r="G174" s="74">
        <f t="shared" si="26"/>
        <v>112073677.84851332</v>
      </c>
      <c r="H174" s="74">
        <f t="shared" si="26"/>
        <v>127192670.95339799</v>
      </c>
      <c r="I174" s="74">
        <f t="shared" si="26"/>
        <v>143543379.17414978</v>
      </c>
    </row>
    <row r="175" spans="2:9">
      <c r="B175" s="73" t="s">
        <v>348</v>
      </c>
      <c r="C175" s="74"/>
      <c r="D175" s="74"/>
      <c r="E175" s="74"/>
      <c r="F175" s="74"/>
      <c r="G175" s="74"/>
      <c r="H175" s="74"/>
      <c r="I175" s="74"/>
    </row>
    <row r="176" spans="2:9">
      <c r="B176" s="73" t="s">
        <v>349</v>
      </c>
      <c r="C176" s="74">
        <f>'6.Cons Profit &amp; Loss'!B36</f>
        <v>1553200</v>
      </c>
      <c r="D176" s="74">
        <f>'6.Cons Profit &amp; Loss'!C36</f>
        <v>1630860</v>
      </c>
      <c r="E176" s="74">
        <f>'6.Cons Profit &amp; Loss'!D36</f>
        <v>1712403</v>
      </c>
      <c r="F176" s="74">
        <f>'6.Cons Profit &amp; Loss'!E36</f>
        <v>1798023.1500000001</v>
      </c>
      <c r="G176" s="74">
        <f>'6.Cons Profit &amp; Loss'!F36</f>
        <v>1887924.3075000001</v>
      </c>
      <c r="H176" s="74">
        <f>'6.Cons Profit &amp; Loss'!G36</f>
        <v>1982320.5228750005</v>
      </c>
      <c r="I176" s="74">
        <f>'6.Cons Profit &amp; Loss'!H36</f>
        <v>2081436.5490187509</v>
      </c>
    </row>
    <row r="177" spans="2:13">
      <c r="B177" s="73" t="s">
        <v>307</v>
      </c>
      <c r="C177" s="74">
        <f>'6.Cons Profit &amp; Loss'!B25*(1-$M$124)</f>
        <v>51091725.732988261</v>
      </c>
      <c r="D177" s="74">
        <f>'6.Cons Profit &amp; Loss'!C25*(1-$M$124)</f>
        <v>61311607.302357458</v>
      </c>
      <c r="E177" s="74">
        <f>'6.Cons Profit &amp; Loss'!D25*(1-$M$124)</f>
        <v>71478949.856837571</v>
      </c>
      <c r="F177" s="74">
        <f>'6.Cons Profit &amp; Loss'!E25*(1-$M$124)</f>
        <v>82509747.648509786</v>
      </c>
      <c r="G177" s="74">
        <f>'6.Cons Profit &amp; Loss'!F25*(1-$M$124)</f>
        <v>94464927.844707146</v>
      </c>
      <c r="H177" s="74">
        <f>'6.Cons Profit &amp; Loss'!G25*(1-$M$124)</f>
        <v>107400621.92551549</v>
      </c>
      <c r="I177" s="74">
        <f>'6.Cons Profit &amp; Loss'!H25*(1-$M$124)</f>
        <v>121393723.09479287</v>
      </c>
    </row>
    <row r="178" spans="2:13">
      <c r="B178" s="73" t="s">
        <v>350</v>
      </c>
      <c r="C178" s="74">
        <f t="shared" ref="C178:I178" si="27">SUM(C176:C177)</f>
        <v>52644925.732988261</v>
      </c>
      <c r="D178" s="74">
        <f t="shared" si="27"/>
        <v>62942467.302357458</v>
      </c>
      <c r="E178" s="74">
        <f t="shared" si="27"/>
        <v>73191352.856837571</v>
      </c>
      <c r="F178" s="74">
        <f t="shared" si="27"/>
        <v>84307770.798509791</v>
      </c>
      <c r="G178" s="74">
        <f t="shared" si="27"/>
        <v>96352852.152207151</v>
      </c>
      <c r="H178" s="74">
        <f t="shared" si="27"/>
        <v>109382942.44839048</v>
      </c>
      <c r="I178" s="74">
        <f t="shared" si="27"/>
        <v>123475159.64381163</v>
      </c>
    </row>
    <row r="179" spans="2:13">
      <c r="B179" s="75" t="s">
        <v>351</v>
      </c>
      <c r="C179" s="323">
        <f t="shared" ref="C179:I179" si="28">+C174-C178</f>
        <v>8161961.2670117319</v>
      </c>
      <c r="D179" s="323">
        <f t="shared" si="28"/>
        <v>9932584.1163925454</v>
      </c>
      <c r="E179" s="323">
        <f t="shared" si="28"/>
        <v>11705892.992224932</v>
      </c>
      <c r="F179" s="323">
        <f t="shared" si="28"/>
        <v>13631701.295349598</v>
      </c>
      <c r="G179" s="323">
        <f t="shared" si="28"/>
        <v>15720825.696306169</v>
      </c>
      <c r="H179" s="323">
        <f t="shared" si="28"/>
        <v>17809728.505007505</v>
      </c>
      <c r="I179" s="323">
        <f t="shared" si="28"/>
        <v>20068219.530338153</v>
      </c>
    </row>
    <row r="181" spans="2:13" ht="41.15" customHeight="1">
      <c r="B181" s="517" t="s">
        <v>538</v>
      </c>
      <c r="C181" s="517"/>
      <c r="D181" s="517"/>
      <c r="E181" s="517"/>
      <c r="F181" s="517"/>
      <c r="G181" s="517"/>
      <c r="H181" s="517"/>
      <c r="I181" s="517"/>
      <c r="J181" s="330"/>
      <c r="K181" s="330"/>
      <c r="L181" s="330"/>
      <c r="M181" s="330"/>
    </row>
  </sheetData>
  <mergeCells count="20">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xr:uid="{00000000-0004-0000-0900-000000000000}"/>
  </hyperlinks>
  <pageMargins left="0.7" right="0.7" top="0.75" bottom="0.75" header="0.3" footer="0.3"/>
  <pageSetup scale="54" orientation="portrait" r:id="rId2"/>
  <colBreaks count="1" manualBreakCount="1">
    <brk id="10" max="18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topLeftCell="P17" zoomScaleSheetLayoutView="100" workbookViewId="0">
      <selection activeCell="Y24" sqref="Y24"/>
    </sheetView>
  </sheetViews>
  <sheetFormatPr defaultRowHeight="14.5"/>
  <cols>
    <col min="1" max="1" width="49.179687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54296875" bestFit="1" customWidth="1"/>
    <col min="10" max="10" width="9.26953125" bestFit="1" customWidth="1"/>
    <col min="11" max="13" width="9.08984375" bestFit="1" customWidth="1"/>
  </cols>
  <sheetData>
    <row r="1" spans="1:26" ht="17.5">
      <c r="A1" s="473" t="s">
        <v>499</v>
      </c>
      <c r="B1" s="473"/>
      <c r="C1" s="473"/>
      <c r="D1" s="473"/>
      <c r="E1" s="473"/>
      <c r="F1" s="473"/>
      <c r="G1" s="473"/>
      <c r="H1" s="473"/>
    </row>
    <row r="2" spans="1:26">
      <c r="B2" s="4"/>
    </row>
    <row r="3" spans="1:26" ht="17.5">
      <c r="A3" s="526" t="s">
        <v>566</v>
      </c>
      <c r="B3" s="526"/>
    </row>
    <row r="4" spans="1:26">
      <c r="A4" s="276" t="s">
        <v>0</v>
      </c>
      <c r="B4" s="294" t="s">
        <v>380</v>
      </c>
      <c r="C4" s="295"/>
      <c r="D4" s="295"/>
      <c r="E4" s="295"/>
      <c r="F4" s="295"/>
      <c r="G4" s="295"/>
      <c r="H4" s="295"/>
    </row>
    <row r="5" spans="1:26">
      <c r="A5" s="10" t="s">
        <v>491</v>
      </c>
      <c r="B5" s="272">
        <v>1500</v>
      </c>
      <c r="C5" s="296"/>
      <c r="D5" s="297"/>
      <c r="E5" s="297"/>
      <c r="F5" s="297"/>
      <c r="G5" s="297"/>
      <c r="H5" s="297"/>
    </row>
    <row r="6" spans="1:26">
      <c r="A6" s="10" t="s">
        <v>492</v>
      </c>
      <c r="B6" s="272">
        <v>500</v>
      </c>
      <c r="C6" s="296"/>
      <c r="D6" s="297"/>
      <c r="E6" s="297"/>
      <c r="F6" s="297"/>
      <c r="G6" s="297"/>
      <c r="H6" s="297"/>
    </row>
    <row r="7" spans="1:26">
      <c r="A7" s="2" t="s">
        <v>1</v>
      </c>
      <c r="B7" s="320">
        <f>B5+B6</f>
        <v>2000</v>
      </c>
      <c r="C7" s="298"/>
      <c r="D7" s="299"/>
      <c r="E7" s="299"/>
      <c r="F7" s="299"/>
      <c r="G7" s="299"/>
      <c r="H7" s="299"/>
    </row>
    <row r="8" spans="1:26">
      <c r="A8" s="2" t="s">
        <v>493</v>
      </c>
      <c r="B8" s="319">
        <v>5</v>
      </c>
      <c r="C8" s="298"/>
      <c r="D8" s="298"/>
      <c r="E8" s="298"/>
      <c r="F8" s="298"/>
      <c r="G8" s="298"/>
      <c r="H8" s="298"/>
    </row>
    <row r="9" spans="1:26">
      <c r="A9" s="2" t="s">
        <v>498</v>
      </c>
      <c r="B9" s="320">
        <f>B7*B8</f>
        <v>10000</v>
      </c>
      <c r="C9" s="299"/>
      <c r="D9" s="299"/>
      <c r="E9" s="299"/>
      <c r="F9" s="299"/>
      <c r="G9" s="299"/>
      <c r="H9" s="299"/>
    </row>
    <row r="10" spans="1:26">
      <c r="J10" t="s">
        <v>448</v>
      </c>
      <c r="O10" t="s">
        <v>444</v>
      </c>
      <c r="U10" t="s">
        <v>445</v>
      </c>
      <c r="Y10" t="s">
        <v>446</v>
      </c>
      <c r="Z10" t="s">
        <v>447</v>
      </c>
    </row>
    <row r="11" spans="1:26" ht="17.5">
      <c r="A11" s="473" t="s">
        <v>567</v>
      </c>
      <c r="B11" s="473"/>
      <c r="C11" s="473"/>
      <c r="D11" s="473"/>
      <c r="E11" s="473"/>
      <c r="F11" s="473"/>
      <c r="G11" s="473"/>
      <c r="H11" s="473"/>
      <c r="I11" s="271"/>
      <c r="J11" s="271"/>
      <c r="K11" s="271"/>
      <c r="L11" s="271"/>
      <c r="M11" s="271"/>
      <c r="N11" s="271"/>
      <c r="O11" s="271"/>
      <c r="P11" s="271"/>
    </row>
    <row r="12" spans="1:26">
      <c r="J12" s="3">
        <v>0.65</v>
      </c>
      <c r="K12" s="290">
        <f>J12+0.05</f>
        <v>0.70000000000000007</v>
      </c>
      <c r="L12" s="290">
        <f t="shared" ref="L12:N12" si="0">K12+0.05</f>
        <v>0.75000000000000011</v>
      </c>
      <c r="M12" s="290">
        <f t="shared" si="0"/>
        <v>0.80000000000000016</v>
      </c>
      <c r="N12" s="290">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9">
      <c r="A13" s="276" t="s">
        <v>384</v>
      </c>
      <c r="B13" s="276" t="s">
        <v>385</v>
      </c>
      <c r="C13" s="277" t="s">
        <v>440</v>
      </c>
      <c r="D13" s="277" t="s">
        <v>449</v>
      </c>
      <c r="E13" s="277" t="s">
        <v>450</v>
      </c>
      <c r="F13" s="277" t="s">
        <v>386</v>
      </c>
      <c r="G13" s="277" t="s">
        <v>441</v>
      </c>
      <c r="H13" s="277" t="s">
        <v>387</v>
      </c>
      <c r="O13" s="289" t="s">
        <v>2</v>
      </c>
      <c r="P13" s="289" t="s">
        <v>3</v>
      </c>
      <c r="Q13" s="289" t="s">
        <v>4</v>
      </c>
      <c r="R13" s="289" t="s">
        <v>5</v>
      </c>
      <c r="S13" s="289" t="s">
        <v>6</v>
      </c>
      <c r="T13" s="289" t="s">
        <v>2</v>
      </c>
      <c r="U13" s="289" t="s">
        <v>3</v>
      </c>
      <c r="V13" s="289" t="s">
        <v>4</v>
      </c>
      <c r="W13" s="289" t="s">
        <v>5</v>
      </c>
      <c r="X13" s="289" t="s">
        <v>6</v>
      </c>
    </row>
    <row r="14" spans="1:26">
      <c r="A14" s="530" t="s">
        <v>388</v>
      </c>
      <c r="B14" s="272" t="s">
        <v>167</v>
      </c>
      <c r="C14" s="287">
        <v>0.6</v>
      </c>
      <c r="D14" s="10">
        <f t="shared" ref="D14:D22" si="3">$B$9*C14</f>
        <v>6000</v>
      </c>
      <c r="E14" s="273">
        <v>10</v>
      </c>
      <c r="F14" s="10">
        <f>D14*E14</f>
        <v>60000</v>
      </c>
      <c r="G14" s="288">
        <v>0</v>
      </c>
      <c r="H14" s="10">
        <f>(F14-F14*G14)</f>
        <v>60000</v>
      </c>
      <c r="J14">
        <f>$D$14*J12</f>
        <v>3900</v>
      </c>
      <c r="K14">
        <f>$D$14*K12</f>
        <v>4200</v>
      </c>
      <c r="L14">
        <f>$D$14*L12</f>
        <v>4500.0000000000009</v>
      </c>
      <c r="M14">
        <f>$D$14*M12</f>
        <v>4800.0000000000009</v>
      </c>
      <c r="N14">
        <f>$D$14*N12</f>
        <v>5100.0000000000009</v>
      </c>
    </row>
    <row r="15" spans="1:26">
      <c r="A15" s="531"/>
      <c r="B15" s="272" t="s">
        <v>471</v>
      </c>
      <c r="C15" s="287">
        <v>0.3</v>
      </c>
      <c r="D15" s="10">
        <f t="shared" si="3"/>
        <v>3000</v>
      </c>
      <c r="E15" s="273">
        <v>7</v>
      </c>
      <c r="F15" s="10">
        <f t="shared" ref="F15:F36" si="4">D15*E15</f>
        <v>21000</v>
      </c>
      <c r="G15" s="288">
        <v>0.05</v>
      </c>
      <c r="H15" s="10">
        <f>(F15-F15*G15)</f>
        <v>19950</v>
      </c>
    </row>
    <row r="16" spans="1:26">
      <c r="A16" s="531"/>
      <c r="B16" s="272" t="s">
        <v>470</v>
      </c>
      <c r="C16" s="287">
        <v>0</v>
      </c>
      <c r="D16" s="10">
        <f t="shared" si="3"/>
        <v>0</v>
      </c>
      <c r="E16" s="273">
        <v>4</v>
      </c>
      <c r="F16" s="10">
        <f t="shared" si="4"/>
        <v>0</v>
      </c>
      <c r="G16" s="288">
        <v>0</v>
      </c>
      <c r="H16" s="10">
        <f t="shared" ref="H16:H36" si="5">(F16-F16*G16)</f>
        <v>0</v>
      </c>
    </row>
    <row r="17" spans="1:8">
      <c r="A17" s="531"/>
      <c r="B17" s="272" t="s">
        <v>468</v>
      </c>
      <c r="C17" s="287">
        <v>0</v>
      </c>
      <c r="D17" s="10">
        <f t="shared" si="3"/>
        <v>0</v>
      </c>
      <c r="E17" s="273">
        <v>7</v>
      </c>
      <c r="F17" s="10">
        <f t="shared" si="4"/>
        <v>0</v>
      </c>
      <c r="G17" s="288">
        <v>0.02</v>
      </c>
      <c r="H17" s="10">
        <f t="shared" si="5"/>
        <v>0</v>
      </c>
    </row>
    <row r="18" spans="1:8">
      <c r="A18" s="531"/>
      <c r="B18" s="272" t="s">
        <v>389</v>
      </c>
      <c r="C18" s="287">
        <v>0</v>
      </c>
      <c r="D18" s="10">
        <f t="shared" si="3"/>
        <v>0</v>
      </c>
      <c r="E18" s="273">
        <v>20</v>
      </c>
      <c r="F18" s="10">
        <f t="shared" si="4"/>
        <v>0</v>
      </c>
      <c r="G18" s="288">
        <v>0</v>
      </c>
      <c r="H18" s="10">
        <f t="shared" si="5"/>
        <v>0</v>
      </c>
    </row>
    <row r="19" spans="1:8">
      <c r="A19" s="531"/>
      <c r="B19" s="272" t="s">
        <v>469</v>
      </c>
      <c r="C19" s="287">
        <v>0</v>
      </c>
      <c r="D19" s="10">
        <f t="shared" si="3"/>
        <v>0</v>
      </c>
      <c r="E19" s="273">
        <v>7</v>
      </c>
      <c r="F19" s="10">
        <f t="shared" si="4"/>
        <v>0</v>
      </c>
      <c r="G19" s="288">
        <v>0.1</v>
      </c>
      <c r="H19" s="10">
        <f t="shared" si="5"/>
        <v>0</v>
      </c>
    </row>
    <row r="20" spans="1:8">
      <c r="A20" s="531"/>
      <c r="B20" s="272" t="s">
        <v>462</v>
      </c>
      <c r="C20" s="287">
        <v>0</v>
      </c>
      <c r="D20" s="10">
        <f t="shared" si="3"/>
        <v>0</v>
      </c>
      <c r="E20" s="273">
        <v>6</v>
      </c>
      <c r="F20" s="10">
        <f t="shared" si="4"/>
        <v>0</v>
      </c>
      <c r="G20" s="288">
        <v>0.02</v>
      </c>
      <c r="H20" s="10">
        <f t="shared" si="5"/>
        <v>0</v>
      </c>
    </row>
    <row r="21" spans="1:8">
      <c r="A21" s="531"/>
      <c r="B21" s="272" t="s">
        <v>393</v>
      </c>
      <c r="C21" s="287">
        <v>0</v>
      </c>
      <c r="D21" s="10">
        <f t="shared" si="3"/>
        <v>0</v>
      </c>
      <c r="E21" s="273"/>
      <c r="F21" s="10">
        <f t="shared" si="4"/>
        <v>0</v>
      </c>
      <c r="G21" s="288">
        <v>0</v>
      </c>
      <c r="H21" s="10">
        <f t="shared" si="5"/>
        <v>0</v>
      </c>
    </row>
    <row r="22" spans="1:8">
      <c r="A22" s="532"/>
      <c r="B22" s="272" t="s">
        <v>472</v>
      </c>
      <c r="C22" s="287">
        <v>0</v>
      </c>
      <c r="D22" s="10">
        <f t="shared" si="3"/>
        <v>0</v>
      </c>
      <c r="E22" s="273"/>
      <c r="F22" s="10">
        <f t="shared" si="4"/>
        <v>0</v>
      </c>
      <c r="G22" s="288">
        <v>0</v>
      </c>
      <c r="H22" s="10">
        <f t="shared" si="5"/>
        <v>0</v>
      </c>
    </row>
    <row r="23" spans="1:8">
      <c r="A23" s="302" t="s">
        <v>476</v>
      </c>
      <c r="B23" s="312">
        <v>0.5</v>
      </c>
      <c r="C23" s="314">
        <f>B9*B23</f>
        <v>5000</v>
      </c>
      <c r="D23" s="10"/>
      <c r="E23" s="273"/>
      <c r="F23" s="10"/>
      <c r="G23" s="288"/>
      <c r="H23" s="10"/>
    </row>
    <row r="24" spans="1:8">
      <c r="A24" s="530" t="s">
        <v>390</v>
      </c>
      <c r="B24" s="272" t="s">
        <v>391</v>
      </c>
      <c r="C24" s="287">
        <v>0.2</v>
      </c>
      <c r="D24" s="10">
        <f>C$23*C24</f>
        <v>1000</v>
      </c>
      <c r="E24" s="273">
        <v>10</v>
      </c>
      <c r="F24" s="10">
        <f t="shared" si="4"/>
        <v>10000</v>
      </c>
      <c r="G24" s="288">
        <v>0.1</v>
      </c>
      <c r="H24" s="10">
        <f t="shared" si="5"/>
        <v>9000</v>
      </c>
    </row>
    <row r="25" spans="1:8">
      <c r="A25" s="531"/>
      <c r="B25" s="272" t="s">
        <v>392</v>
      </c>
      <c r="C25" s="287">
        <v>0.5</v>
      </c>
      <c r="D25" s="10">
        <f>C$23*C25</f>
        <v>2500</v>
      </c>
      <c r="E25" s="273">
        <v>8</v>
      </c>
      <c r="F25" s="10">
        <f t="shared" si="4"/>
        <v>20000</v>
      </c>
      <c r="G25" s="288">
        <v>0.05</v>
      </c>
      <c r="H25" s="10">
        <f t="shared" si="5"/>
        <v>19000</v>
      </c>
    </row>
    <row r="26" spans="1:8">
      <c r="A26" s="531"/>
      <c r="B26" s="272" t="s">
        <v>393</v>
      </c>
      <c r="C26" s="287">
        <v>0</v>
      </c>
      <c r="D26" s="10">
        <f>C$23*C26</f>
        <v>0</v>
      </c>
      <c r="E26" s="273">
        <v>10</v>
      </c>
      <c r="F26" s="10">
        <f t="shared" si="4"/>
        <v>0</v>
      </c>
      <c r="G26" s="288">
        <v>0.05</v>
      </c>
      <c r="H26" s="10">
        <f t="shared" si="5"/>
        <v>0</v>
      </c>
    </row>
    <row r="27" spans="1:8">
      <c r="A27" s="531"/>
      <c r="B27" s="272" t="s">
        <v>389</v>
      </c>
      <c r="C27" s="287">
        <v>0</v>
      </c>
      <c r="D27" s="10">
        <f t="shared" ref="D27:D31" si="6">C$23*C27</f>
        <v>0</v>
      </c>
      <c r="E27" s="273">
        <v>20</v>
      </c>
      <c r="F27" s="10">
        <f t="shared" si="4"/>
        <v>0</v>
      </c>
      <c r="G27" s="288">
        <v>0</v>
      </c>
      <c r="H27" s="10">
        <f t="shared" si="5"/>
        <v>0</v>
      </c>
    </row>
    <row r="28" spans="1:8">
      <c r="A28" s="531"/>
      <c r="B28" s="272" t="s">
        <v>473</v>
      </c>
      <c r="C28" s="287">
        <v>0</v>
      </c>
      <c r="D28" s="10">
        <f t="shared" si="6"/>
        <v>0</v>
      </c>
      <c r="E28" s="273"/>
      <c r="F28" s="10">
        <f t="shared" si="4"/>
        <v>0</v>
      </c>
      <c r="G28" s="288">
        <v>0</v>
      </c>
      <c r="H28" s="10">
        <f t="shared" si="5"/>
        <v>0</v>
      </c>
    </row>
    <row r="29" spans="1:8">
      <c r="A29" s="531"/>
      <c r="B29" s="272"/>
      <c r="C29" s="287">
        <v>0</v>
      </c>
      <c r="D29" s="10">
        <f t="shared" si="6"/>
        <v>0</v>
      </c>
      <c r="E29" s="273"/>
      <c r="F29" s="10">
        <f t="shared" si="4"/>
        <v>0</v>
      </c>
      <c r="G29" s="288">
        <v>0</v>
      </c>
      <c r="H29" s="10">
        <f t="shared" si="5"/>
        <v>0</v>
      </c>
    </row>
    <row r="30" spans="1:8">
      <c r="A30" s="531"/>
      <c r="B30" s="272"/>
      <c r="C30" s="287">
        <v>0</v>
      </c>
      <c r="D30" s="10">
        <f t="shared" si="6"/>
        <v>0</v>
      </c>
      <c r="E30" s="273"/>
      <c r="F30" s="10">
        <f t="shared" si="4"/>
        <v>0</v>
      </c>
      <c r="G30" s="288">
        <v>0</v>
      </c>
      <c r="H30" s="10">
        <f t="shared" si="5"/>
        <v>0</v>
      </c>
    </row>
    <row r="31" spans="1:8">
      <c r="A31" s="532"/>
      <c r="B31" s="272"/>
      <c r="C31" s="287">
        <v>0</v>
      </c>
      <c r="D31" s="10">
        <f t="shared" si="6"/>
        <v>0</v>
      </c>
      <c r="E31" s="273"/>
      <c r="F31" s="10">
        <f t="shared" si="4"/>
        <v>0</v>
      </c>
      <c r="G31" s="288">
        <v>0</v>
      </c>
      <c r="H31" s="10">
        <f t="shared" si="5"/>
        <v>0</v>
      </c>
    </row>
    <row r="32" spans="1:8">
      <c r="A32" s="302" t="s">
        <v>475</v>
      </c>
      <c r="B32" s="312">
        <v>0</v>
      </c>
      <c r="C32" s="281">
        <f>B9*B32</f>
        <v>0</v>
      </c>
      <c r="D32" s="10"/>
      <c r="E32" s="273"/>
      <c r="F32" s="10"/>
      <c r="G32" s="288"/>
      <c r="H32" s="10"/>
    </row>
    <row r="33" spans="1:13">
      <c r="A33" s="315" t="s">
        <v>453</v>
      </c>
      <c r="B33" s="272" t="s">
        <v>474</v>
      </c>
      <c r="C33" s="287">
        <v>0</v>
      </c>
      <c r="D33" s="10">
        <f>C$32*C33</f>
        <v>0</v>
      </c>
      <c r="E33" s="273"/>
      <c r="F33" s="10">
        <f t="shared" si="4"/>
        <v>0</v>
      </c>
      <c r="G33" s="288">
        <v>0</v>
      </c>
      <c r="H33" s="10">
        <f t="shared" si="5"/>
        <v>0</v>
      </c>
    </row>
    <row r="34" spans="1:13">
      <c r="A34" s="316"/>
      <c r="B34" s="272"/>
      <c r="C34" s="287">
        <v>0</v>
      </c>
      <c r="D34" s="10">
        <f>C$32*C34</f>
        <v>0</v>
      </c>
      <c r="E34" s="273"/>
      <c r="F34" s="10">
        <f t="shared" si="4"/>
        <v>0</v>
      </c>
      <c r="G34" s="288">
        <v>0</v>
      </c>
      <c r="H34" s="10">
        <f t="shared" si="5"/>
        <v>0</v>
      </c>
    </row>
    <row r="35" spans="1:13">
      <c r="A35" s="316"/>
      <c r="B35" s="272"/>
      <c r="C35" s="287">
        <v>0</v>
      </c>
      <c r="D35" s="10">
        <f>C$32*C35</f>
        <v>0</v>
      </c>
      <c r="E35" s="273"/>
      <c r="F35" s="10">
        <f t="shared" si="4"/>
        <v>0</v>
      </c>
      <c r="G35" s="288">
        <v>0</v>
      </c>
      <c r="H35" s="10">
        <f t="shared" si="5"/>
        <v>0</v>
      </c>
    </row>
    <row r="36" spans="1:13">
      <c r="A36" s="317"/>
      <c r="B36" s="272"/>
      <c r="C36" s="287">
        <v>0</v>
      </c>
      <c r="D36" s="10">
        <f>C$32*C36</f>
        <v>0</v>
      </c>
      <c r="E36" s="273"/>
      <c r="F36" s="10">
        <f t="shared" si="4"/>
        <v>0</v>
      </c>
      <c r="G36" s="288">
        <v>0</v>
      </c>
      <c r="H36" s="10">
        <f t="shared" si="5"/>
        <v>0</v>
      </c>
    </row>
    <row r="37" spans="1:13">
      <c r="A37" s="529" t="s">
        <v>394</v>
      </c>
      <c r="B37" s="529"/>
      <c r="C37" s="529"/>
      <c r="D37" s="529"/>
      <c r="E37" s="529"/>
      <c r="F37" s="529"/>
      <c r="G37" s="529"/>
      <c r="H37" s="529"/>
    </row>
    <row r="38" spans="1:13">
      <c r="K38">
        <f>10118032</f>
        <v>10118032</v>
      </c>
      <c r="L38">
        <v>7360840</v>
      </c>
      <c r="M38">
        <v>475680</v>
      </c>
    </row>
    <row r="39" spans="1:13" ht="17.5">
      <c r="A39" s="533" t="s">
        <v>568</v>
      </c>
      <c r="B39" s="534"/>
      <c r="C39" s="534"/>
      <c r="D39" s="534"/>
      <c r="E39" s="534"/>
      <c r="F39" s="534"/>
      <c r="G39" s="534"/>
      <c r="H39" s="535"/>
    </row>
    <row r="40" spans="1:13">
      <c r="A40" s="536" t="s">
        <v>0</v>
      </c>
      <c r="B40" s="303">
        <v>0.4</v>
      </c>
      <c r="C40" s="303">
        <f>B40+0.05</f>
        <v>0.45</v>
      </c>
      <c r="D40" s="303">
        <f t="shared" ref="D40:G40" si="7">C40+0.05</f>
        <v>0.5</v>
      </c>
      <c r="E40" s="303">
        <f t="shared" si="7"/>
        <v>0.55000000000000004</v>
      </c>
      <c r="F40" s="303">
        <f t="shared" si="7"/>
        <v>0.60000000000000009</v>
      </c>
      <c r="G40" s="303">
        <f t="shared" si="7"/>
        <v>0.65000000000000013</v>
      </c>
      <c r="H40" s="303">
        <f>G40+0.05</f>
        <v>0.70000000000000018</v>
      </c>
    </row>
    <row r="41" spans="1:13">
      <c r="A41" s="537"/>
      <c r="B41" s="294" t="s">
        <v>2</v>
      </c>
      <c r="C41" s="294" t="s">
        <v>3</v>
      </c>
      <c r="D41" s="294" t="s">
        <v>4</v>
      </c>
      <c r="E41" s="294" t="s">
        <v>5</v>
      </c>
      <c r="F41" s="294" t="s">
        <v>6</v>
      </c>
      <c r="G41" s="294" t="s">
        <v>169</v>
      </c>
      <c r="H41" s="294" t="s">
        <v>168</v>
      </c>
    </row>
    <row r="42" spans="1:13">
      <c r="A42" s="10" t="str">
        <f t="shared" ref="A42:A50" si="8">B14</f>
        <v>Soybean</v>
      </c>
      <c r="B42" s="10">
        <f t="shared" ref="B42:B50" si="9">H14*$B$40</f>
        <v>24000</v>
      </c>
      <c r="C42" s="10">
        <f t="shared" ref="C42:H51" si="10">(B42/B$40)*C$40</f>
        <v>27000</v>
      </c>
      <c r="D42" s="10">
        <f t="shared" si="10"/>
        <v>30000</v>
      </c>
      <c r="E42" s="10">
        <f t="shared" si="10"/>
        <v>33000</v>
      </c>
      <c r="F42" s="10">
        <f t="shared" si="10"/>
        <v>36000</v>
      </c>
      <c r="G42" s="10">
        <f t="shared" si="10"/>
        <v>39000</v>
      </c>
      <c r="H42" s="10">
        <f t="shared" si="10"/>
        <v>42000</v>
      </c>
      <c r="I42" s="453">
        <f>B42/10</f>
        <v>2400</v>
      </c>
      <c r="J42" s="453">
        <f t="shared" ref="J42:M42" si="11">C42/10</f>
        <v>2700</v>
      </c>
      <c r="K42" s="453">
        <f t="shared" si="11"/>
        <v>3000</v>
      </c>
      <c r="L42" s="453">
        <f t="shared" si="11"/>
        <v>3300</v>
      </c>
      <c r="M42" s="453">
        <f t="shared" si="11"/>
        <v>3600</v>
      </c>
    </row>
    <row r="43" spans="1:13">
      <c r="A43" s="10" t="str">
        <f t="shared" si="8"/>
        <v>Red Gram/Tur</v>
      </c>
      <c r="B43" s="10">
        <f t="shared" si="9"/>
        <v>7980</v>
      </c>
      <c r="C43" s="10">
        <f t="shared" si="10"/>
        <v>8977.5</v>
      </c>
      <c r="D43" s="10">
        <f t="shared" si="10"/>
        <v>9975</v>
      </c>
      <c r="E43" s="10">
        <f t="shared" si="10"/>
        <v>10972.5</v>
      </c>
      <c r="F43" s="10">
        <f t="shared" si="10"/>
        <v>11970.000000000002</v>
      </c>
      <c r="G43" s="10">
        <f t="shared" si="10"/>
        <v>12967.500000000002</v>
      </c>
      <c r="H43" s="10">
        <f t="shared" si="10"/>
        <v>13965.000000000004</v>
      </c>
      <c r="I43" s="453">
        <f t="shared" ref="I43:I55" si="12">B43/10</f>
        <v>798</v>
      </c>
      <c r="J43" s="453">
        <f t="shared" ref="J43:J55" si="13">C43/10</f>
        <v>897.75</v>
      </c>
      <c r="K43" s="453">
        <f t="shared" ref="K43:K55" si="14">D43/10</f>
        <v>997.5</v>
      </c>
      <c r="L43" s="453">
        <f t="shared" ref="L43:L55" si="15">E43/10</f>
        <v>1097.25</v>
      </c>
      <c r="M43" s="453">
        <f t="shared" ref="M43:M55" si="16">F43/10</f>
        <v>1197.0000000000002</v>
      </c>
    </row>
    <row r="44" spans="1:13">
      <c r="A44" s="10" t="str">
        <f t="shared" si="8"/>
        <v>Paddy/Rice</v>
      </c>
      <c r="B44" s="10">
        <f t="shared" si="9"/>
        <v>0</v>
      </c>
      <c r="C44" s="10">
        <f t="shared" si="10"/>
        <v>0</v>
      </c>
      <c r="D44" s="10">
        <f t="shared" si="10"/>
        <v>0</v>
      </c>
      <c r="E44" s="10">
        <f t="shared" si="10"/>
        <v>0</v>
      </c>
      <c r="F44" s="10">
        <f t="shared" si="10"/>
        <v>0</v>
      </c>
      <c r="G44" s="10">
        <f t="shared" si="10"/>
        <v>0</v>
      </c>
      <c r="H44" s="10">
        <f t="shared" si="10"/>
        <v>0</v>
      </c>
      <c r="I44" s="453">
        <f t="shared" si="12"/>
        <v>0</v>
      </c>
      <c r="J44" s="453">
        <f t="shared" si="13"/>
        <v>0</v>
      </c>
      <c r="K44" s="453">
        <f t="shared" si="14"/>
        <v>0</v>
      </c>
      <c r="L44" s="453">
        <f t="shared" si="15"/>
        <v>0</v>
      </c>
      <c r="M44" s="453">
        <f t="shared" si="16"/>
        <v>0</v>
      </c>
    </row>
    <row r="45" spans="1:13">
      <c r="A45" s="10" t="str">
        <f t="shared" si="8"/>
        <v>Green Gram/ Moong</v>
      </c>
      <c r="B45" s="10">
        <f t="shared" si="9"/>
        <v>0</v>
      </c>
      <c r="C45" s="10">
        <f t="shared" si="10"/>
        <v>0</v>
      </c>
      <c r="D45" s="10">
        <f t="shared" si="10"/>
        <v>0</v>
      </c>
      <c r="E45" s="10">
        <f t="shared" si="10"/>
        <v>0</v>
      </c>
      <c r="F45" s="10">
        <f t="shared" si="10"/>
        <v>0</v>
      </c>
      <c r="G45" s="10">
        <f t="shared" si="10"/>
        <v>0</v>
      </c>
      <c r="H45" s="10">
        <f t="shared" si="10"/>
        <v>0</v>
      </c>
      <c r="I45" s="453">
        <f t="shared" si="12"/>
        <v>0</v>
      </c>
      <c r="J45" s="453">
        <f t="shared" si="13"/>
        <v>0</v>
      </c>
      <c r="K45" s="453">
        <f t="shared" si="14"/>
        <v>0</v>
      </c>
      <c r="L45" s="453">
        <f t="shared" si="15"/>
        <v>0</v>
      </c>
      <c r="M45" s="453">
        <f t="shared" si="16"/>
        <v>0</v>
      </c>
    </row>
    <row r="46" spans="1:13">
      <c r="A46" s="10" t="str">
        <f t="shared" si="8"/>
        <v>Maize</v>
      </c>
      <c r="B46" s="10">
        <f t="shared" si="9"/>
        <v>0</v>
      </c>
      <c r="C46" s="10">
        <f t="shared" si="10"/>
        <v>0</v>
      </c>
      <c r="D46" s="10">
        <f t="shared" si="10"/>
        <v>0</v>
      </c>
      <c r="E46" s="10">
        <f t="shared" si="10"/>
        <v>0</v>
      </c>
      <c r="F46" s="10">
        <f t="shared" si="10"/>
        <v>0</v>
      </c>
      <c r="G46" s="10">
        <f t="shared" si="10"/>
        <v>0</v>
      </c>
      <c r="H46" s="10">
        <f t="shared" si="10"/>
        <v>0</v>
      </c>
      <c r="I46" s="453">
        <f t="shared" si="12"/>
        <v>0</v>
      </c>
      <c r="J46" s="453">
        <f t="shared" si="13"/>
        <v>0</v>
      </c>
      <c r="K46" s="453">
        <f t="shared" si="14"/>
        <v>0</v>
      </c>
      <c r="L46" s="453">
        <f t="shared" si="15"/>
        <v>0</v>
      </c>
      <c r="M46" s="453">
        <f t="shared" si="16"/>
        <v>0</v>
      </c>
    </row>
    <row r="47" spans="1:13">
      <c r="A47" s="10" t="str">
        <f t="shared" si="8"/>
        <v>Black Gram/Udid</v>
      </c>
      <c r="B47" s="10">
        <f t="shared" si="9"/>
        <v>0</v>
      </c>
      <c r="C47" s="10">
        <f t="shared" si="10"/>
        <v>0</v>
      </c>
      <c r="D47" s="10">
        <f t="shared" si="10"/>
        <v>0</v>
      </c>
      <c r="E47" s="10">
        <f t="shared" si="10"/>
        <v>0</v>
      </c>
      <c r="F47" s="10">
        <f t="shared" si="10"/>
        <v>0</v>
      </c>
      <c r="G47" s="10">
        <f t="shared" si="10"/>
        <v>0</v>
      </c>
      <c r="H47" s="10">
        <f t="shared" si="10"/>
        <v>0</v>
      </c>
      <c r="I47" s="453">
        <f t="shared" si="12"/>
        <v>0</v>
      </c>
      <c r="J47" s="453">
        <f t="shared" si="13"/>
        <v>0</v>
      </c>
      <c r="K47" s="453">
        <f t="shared" si="14"/>
        <v>0</v>
      </c>
      <c r="L47" s="453">
        <f t="shared" si="15"/>
        <v>0</v>
      </c>
      <c r="M47" s="453">
        <f t="shared" si="16"/>
        <v>0</v>
      </c>
    </row>
    <row r="48" spans="1:13">
      <c r="A48" s="10" t="str">
        <f t="shared" si="8"/>
        <v>Bajra</v>
      </c>
      <c r="B48" s="10">
        <f t="shared" si="9"/>
        <v>0</v>
      </c>
      <c r="C48" s="10">
        <f t="shared" si="10"/>
        <v>0</v>
      </c>
      <c r="D48" s="10">
        <f t="shared" si="10"/>
        <v>0</v>
      </c>
      <c r="E48" s="10">
        <f t="shared" si="10"/>
        <v>0</v>
      </c>
      <c r="F48" s="10">
        <f t="shared" si="10"/>
        <v>0</v>
      </c>
      <c r="G48" s="10">
        <f t="shared" si="10"/>
        <v>0</v>
      </c>
      <c r="H48" s="10">
        <f t="shared" si="10"/>
        <v>0</v>
      </c>
      <c r="I48" s="453">
        <f t="shared" si="12"/>
        <v>0</v>
      </c>
      <c r="J48" s="453">
        <f t="shared" si="13"/>
        <v>0</v>
      </c>
      <c r="K48" s="453">
        <f t="shared" si="14"/>
        <v>0</v>
      </c>
      <c r="L48" s="453">
        <f t="shared" si="15"/>
        <v>0</v>
      </c>
      <c r="M48" s="453">
        <f t="shared" si="16"/>
        <v>0</v>
      </c>
    </row>
    <row r="49" spans="1:13">
      <c r="A49" s="10" t="str">
        <f t="shared" si="8"/>
        <v>Jawar</v>
      </c>
      <c r="B49" s="10">
        <f t="shared" si="9"/>
        <v>0</v>
      </c>
      <c r="C49" s="10">
        <f t="shared" si="10"/>
        <v>0</v>
      </c>
      <c r="D49" s="10">
        <f t="shared" si="10"/>
        <v>0</v>
      </c>
      <c r="E49" s="10">
        <f t="shared" si="10"/>
        <v>0</v>
      </c>
      <c r="F49" s="10">
        <f t="shared" si="10"/>
        <v>0</v>
      </c>
      <c r="G49" s="10">
        <f t="shared" si="10"/>
        <v>0</v>
      </c>
      <c r="H49" s="10">
        <f t="shared" si="10"/>
        <v>0</v>
      </c>
      <c r="I49" s="453">
        <f t="shared" si="12"/>
        <v>0</v>
      </c>
      <c r="J49" s="453">
        <f t="shared" si="13"/>
        <v>0</v>
      </c>
      <c r="K49" s="453">
        <f t="shared" si="14"/>
        <v>0</v>
      </c>
      <c r="L49" s="453">
        <f t="shared" si="15"/>
        <v>0</v>
      </c>
      <c r="M49" s="453">
        <f t="shared" si="16"/>
        <v>0</v>
      </c>
    </row>
    <row r="50" spans="1:13">
      <c r="A50" s="10" t="str">
        <f t="shared" si="8"/>
        <v>Sunflower</v>
      </c>
      <c r="B50" s="10">
        <f t="shared" si="9"/>
        <v>0</v>
      </c>
      <c r="C50" s="10">
        <f t="shared" si="10"/>
        <v>0</v>
      </c>
      <c r="D50" s="10">
        <f t="shared" si="10"/>
        <v>0</v>
      </c>
      <c r="E50" s="10">
        <f t="shared" si="10"/>
        <v>0</v>
      </c>
      <c r="F50" s="10">
        <f t="shared" si="10"/>
        <v>0</v>
      </c>
      <c r="G50" s="10">
        <f t="shared" si="10"/>
        <v>0</v>
      </c>
      <c r="H50" s="10">
        <f t="shared" si="10"/>
        <v>0</v>
      </c>
      <c r="I50" s="453">
        <f t="shared" si="12"/>
        <v>0</v>
      </c>
      <c r="J50" s="453">
        <f t="shared" si="13"/>
        <v>0</v>
      </c>
      <c r="K50" s="453">
        <f t="shared" si="14"/>
        <v>0</v>
      </c>
      <c r="L50" s="453">
        <f t="shared" si="15"/>
        <v>0</v>
      </c>
      <c r="M50" s="453">
        <f t="shared" si="16"/>
        <v>0</v>
      </c>
    </row>
    <row r="51" spans="1:13">
      <c r="A51" s="10" t="str">
        <f t="shared" ref="A51:A58" si="17">B24</f>
        <v>Wheat</v>
      </c>
      <c r="B51" s="10">
        <f t="shared" ref="B51:B58" si="18">H24*$B$40</f>
        <v>3600</v>
      </c>
      <c r="C51" s="10">
        <f t="shared" si="10"/>
        <v>4050</v>
      </c>
      <c r="D51" s="10">
        <f t="shared" si="10"/>
        <v>4500</v>
      </c>
      <c r="E51" s="10">
        <f t="shared" si="10"/>
        <v>4950</v>
      </c>
      <c r="F51" s="10">
        <f t="shared" si="10"/>
        <v>5400.0000000000009</v>
      </c>
      <c r="G51" s="10">
        <f t="shared" si="10"/>
        <v>5850.0000000000009</v>
      </c>
      <c r="H51" s="10">
        <f t="shared" si="10"/>
        <v>6300.0000000000018</v>
      </c>
      <c r="I51" s="453">
        <f t="shared" si="12"/>
        <v>360</v>
      </c>
      <c r="J51" s="453">
        <f t="shared" si="13"/>
        <v>405</v>
      </c>
      <c r="K51" s="453">
        <f t="shared" si="14"/>
        <v>450</v>
      </c>
      <c r="L51" s="453">
        <f t="shared" si="15"/>
        <v>495</v>
      </c>
      <c r="M51" s="453">
        <f t="shared" si="16"/>
        <v>540.00000000000011</v>
      </c>
    </row>
    <row r="52" spans="1:13">
      <c r="A52" s="10" t="str">
        <f t="shared" si="17"/>
        <v>Bengal Gram/Channa</v>
      </c>
      <c r="B52" s="10">
        <f t="shared" si="18"/>
        <v>7600</v>
      </c>
      <c r="C52" s="10">
        <f t="shared" ref="C52:H61" si="19">(B52/B$40)*C$40</f>
        <v>8550</v>
      </c>
      <c r="D52" s="10">
        <f t="shared" si="19"/>
        <v>9500</v>
      </c>
      <c r="E52" s="10">
        <f t="shared" si="19"/>
        <v>10450</v>
      </c>
      <c r="F52" s="10">
        <f t="shared" si="19"/>
        <v>11400.000000000002</v>
      </c>
      <c r="G52" s="10">
        <f t="shared" si="19"/>
        <v>12350.000000000002</v>
      </c>
      <c r="H52" s="10">
        <f t="shared" si="19"/>
        <v>13300.000000000004</v>
      </c>
      <c r="I52" s="453">
        <f t="shared" si="12"/>
        <v>760</v>
      </c>
      <c r="J52" s="453">
        <f t="shared" si="13"/>
        <v>855</v>
      </c>
      <c r="K52" s="453">
        <f t="shared" si="14"/>
        <v>950</v>
      </c>
      <c r="L52" s="453">
        <f t="shared" si="15"/>
        <v>1045</v>
      </c>
      <c r="M52" s="453">
        <f t="shared" si="16"/>
        <v>1140.0000000000002</v>
      </c>
    </row>
    <row r="53" spans="1:13">
      <c r="A53" s="10" t="str">
        <f t="shared" si="17"/>
        <v>Jawar</v>
      </c>
      <c r="B53" s="10">
        <f t="shared" si="18"/>
        <v>0</v>
      </c>
      <c r="C53" s="10">
        <f t="shared" si="19"/>
        <v>0</v>
      </c>
      <c r="D53" s="10">
        <f t="shared" si="19"/>
        <v>0</v>
      </c>
      <c r="E53" s="10">
        <f t="shared" si="19"/>
        <v>0</v>
      </c>
      <c r="F53" s="10">
        <f t="shared" si="19"/>
        <v>0</v>
      </c>
      <c r="G53" s="10">
        <f t="shared" si="19"/>
        <v>0</v>
      </c>
      <c r="H53" s="10">
        <f t="shared" si="19"/>
        <v>0</v>
      </c>
      <c r="I53" s="377">
        <f t="shared" si="12"/>
        <v>0</v>
      </c>
      <c r="J53" s="377">
        <f t="shared" si="13"/>
        <v>0</v>
      </c>
      <c r="K53" s="377">
        <f t="shared" si="14"/>
        <v>0</v>
      </c>
      <c r="L53" s="377">
        <f t="shared" si="15"/>
        <v>0</v>
      </c>
      <c r="M53" s="377">
        <f t="shared" si="16"/>
        <v>0</v>
      </c>
    </row>
    <row r="54" spans="1:13">
      <c r="A54" s="10" t="str">
        <f t="shared" si="17"/>
        <v>Maize</v>
      </c>
      <c r="B54" s="10">
        <f t="shared" si="18"/>
        <v>0</v>
      </c>
      <c r="C54" s="10">
        <f t="shared" si="19"/>
        <v>0</v>
      </c>
      <c r="D54" s="10">
        <f t="shared" si="19"/>
        <v>0</v>
      </c>
      <c r="E54" s="10">
        <f t="shared" si="19"/>
        <v>0</v>
      </c>
      <c r="F54" s="10">
        <f t="shared" si="19"/>
        <v>0</v>
      </c>
      <c r="G54" s="10">
        <f t="shared" si="19"/>
        <v>0</v>
      </c>
      <c r="H54" s="10">
        <f t="shared" si="19"/>
        <v>0</v>
      </c>
      <c r="I54" s="377">
        <f t="shared" si="12"/>
        <v>0</v>
      </c>
      <c r="J54" s="377">
        <f t="shared" si="13"/>
        <v>0</v>
      </c>
      <c r="K54" s="377">
        <f t="shared" si="14"/>
        <v>0</v>
      </c>
      <c r="L54" s="377">
        <f t="shared" si="15"/>
        <v>0</v>
      </c>
      <c r="M54" s="377">
        <f t="shared" si="16"/>
        <v>0</v>
      </c>
    </row>
    <row r="55" spans="1:13">
      <c r="A55" s="10" t="str">
        <f t="shared" si="17"/>
        <v>Safflower</v>
      </c>
      <c r="B55" s="10">
        <f t="shared" si="18"/>
        <v>0</v>
      </c>
      <c r="C55" s="10">
        <f t="shared" si="19"/>
        <v>0</v>
      </c>
      <c r="D55" s="10">
        <f t="shared" si="19"/>
        <v>0</v>
      </c>
      <c r="E55" s="10">
        <f t="shared" si="19"/>
        <v>0</v>
      </c>
      <c r="F55" s="10">
        <f t="shared" si="19"/>
        <v>0</v>
      </c>
      <c r="G55" s="10">
        <f t="shared" si="19"/>
        <v>0</v>
      </c>
      <c r="H55" s="10">
        <f t="shared" si="19"/>
        <v>0</v>
      </c>
      <c r="I55" s="377">
        <f t="shared" si="12"/>
        <v>0</v>
      </c>
      <c r="J55" s="377">
        <f t="shared" si="13"/>
        <v>0</v>
      </c>
      <c r="K55" s="377">
        <f t="shared" si="14"/>
        <v>0</v>
      </c>
      <c r="L55" s="377">
        <f t="shared" si="15"/>
        <v>0</v>
      </c>
      <c r="M55" s="377">
        <f t="shared" si="16"/>
        <v>0</v>
      </c>
    </row>
    <row r="56" spans="1:13">
      <c r="A56" s="10">
        <f t="shared" si="17"/>
        <v>0</v>
      </c>
      <c r="B56" s="10">
        <f t="shared" si="18"/>
        <v>0</v>
      </c>
      <c r="C56" s="10">
        <f t="shared" si="19"/>
        <v>0</v>
      </c>
      <c r="D56" s="10">
        <f t="shared" si="19"/>
        <v>0</v>
      </c>
      <c r="E56" s="10">
        <f t="shared" si="19"/>
        <v>0</v>
      </c>
      <c r="F56" s="10">
        <f t="shared" si="19"/>
        <v>0</v>
      </c>
      <c r="G56" s="10">
        <f t="shared" si="19"/>
        <v>0</v>
      </c>
      <c r="H56" s="10">
        <f t="shared" si="19"/>
        <v>0</v>
      </c>
    </row>
    <row r="57" spans="1:13">
      <c r="A57" s="10">
        <f t="shared" si="17"/>
        <v>0</v>
      </c>
      <c r="B57" s="10">
        <f t="shared" si="18"/>
        <v>0</v>
      </c>
      <c r="C57" s="10">
        <f t="shared" si="19"/>
        <v>0</v>
      </c>
      <c r="D57" s="10">
        <f t="shared" si="19"/>
        <v>0</v>
      </c>
      <c r="E57" s="10">
        <f t="shared" si="19"/>
        <v>0</v>
      </c>
      <c r="F57" s="10">
        <f t="shared" si="19"/>
        <v>0</v>
      </c>
      <c r="G57" s="10">
        <f t="shared" si="19"/>
        <v>0</v>
      </c>
      <c r="H57" s="10">
        <f t="shared" si="19"/>
        <v>0</v>
      </c>
    </row>
    <row r="58" spans="1:13">
      <c r="A58" s="10">
        <f t="shared" si="17"/>
        <v>0</v>
      </c>
      <c r="B58" s="10">
        <f t="shared" si="18"/>
        <v>0</v>
      </c>
      <c r="C58" s="10">
        <f t="shared" si="19"/>
        <v>0</v>
      </c>
      <c r="D58" s="10">
        <f t="shared" si="19"/>
        <v>0</v>
      </c>
      <c r="E58" s="10">
        <f t="shared" si="19"/>
        <v>0</v>
      </c>
      <c r="F58" s="10">
        <f t="shared" si="19"/>
        <v>0</v>
      </c>
      <c r="G58" s="10">
        <f t="shared" si="19"/>
        <v>0</v>
      </c>
      <c r="H58" s="10">
        <f t="shared" si="19"/>
        <v>0</v>
      </c>
    </row>
    <row r="59" spans="1:13">
      <c r="A59" s="10" t="str">
        <f>B33</f>
        <v>Groundnut</v>
      </c>
      <c r="B59" s="10">
        <f>H33*$B$40</f>
        <v>0</v>
      </c>
      <c r="C59" s="10">
        <f t="shared" si="19"/>
        <v>0</v>
      </c>
      <c r="D59" s="10">
        <f t="shared" si="19"/>
        <v>0</v>
      </c>
      <c r="E59" s="10">
        <f t="shared" si="19"/>
        <v>0</v>
      </c>
      <c r="F59" s="10">
        <f t="shared" si="19"/>
        <v>0</v>
      </c>
      <c r="G59" s="10">
        <f t="shared" si="19"/>
        <v>0</v>
      </c>
      <c r="H59" s="10">
        <f t="shared" si="19"/>
        <v>0</v>
      </c>
    </row>
    <row r="60" spans="1:13">
      <c r="A60" s="10">
        <f>B34</f>
        <v>0</v>
      </c>
      <c r="B60" s="10">
        <f>H34*$B$40</f>
        <v>0</v>
      </c>
      <c r="C60" s="10">
        <f t="shared" si="19"/>
        <v>0</v>
      </c>
      <c r="D60" s="10">
        <f t="shared" si="19"/>
        <v>0</v>
      </c>
      <c r="E60" s="10">
        <f t="shared" si="19"/>
        <v>0</v>
      </c>
      <c r="F60" s="10">
        <f t="shared" si="19"/>
        <v>0</v>
      </c>
      <c r="G60" s="10">
        <f t="shared" si="19"/>
        <v>0</v>
      </c>
      <c r="H60" s="10">
        <f t="shared" si="19"/>
        <v>0</v>
      </c>
    </row>
    <row r="61" spans="1:13">
      <c r="A61" s="10">
        <f>B35</f>
        <v>0</v>
      </c>
      <c r="B61" s="10">
        <f>H35*$B$40</f>
        <v>0</v>
      </c>
      <c r="C61" s="10">
        <f t="shared" si="19"/>
        <v>0</v>
      </c>
      <c r="D61" s="10">
        <f t="shared" si="19"/>
        <v>0</v>
      </c>
      <c r="E61" s="10">
        <f t="shared" si="19"/>
        <v>0</v>
      </c>
      <c r="F61" s="10">
        <f t="shared" si="19"/>
        <v>0</v>
      </c>
      <c r="G61" s="10">
        <f t="shared" si="19"/>
        <v>0</v>
      </c>
      <c r="H61" s="10">
        <f t="shared" si="19"/>
        <v>0</v>
      </c>
    </row>
    <row r="62" spans="1:13">
      <c r="A62" s="10">
        <f>B36</f>
        <v>0</v>
      </c>
      <c r="B62" s="10">
        <f>H36*$B$40</f>
        <v>0</v>
      </c>
      <c r="C62" s="10">
        <f t="shared" ref="C62:H62" si="20">(B62/B$40)*C$40</f>
        <v>0</v>
      </c>
      <c r="D62" s="10">
        <f t="shared" si="20"/>
        <v>0</v>
      </c>
      <c r="E62" s="10">
        <f t="shared" si="20"/>
        <v>0</v>
      </c>
      <c r="F62" s="10">
        <f t="shared" si="20"/>
        <v>0</v>
      </c>
      <c r="G62" s="10">
        <f t="shared" si="20"/>
        <v>0</v>
      </c>
      <c r="H62" s="10">
        <f t="shared" si="20"/>
        <v>0</v>
      </c>
    </row>
    <row r="64" spans="1:13" ht="17.5">
      <c r="A64" s="538" t="s">
        <v>569</v>
      </c>
      <c r="B64" s="539"/>
      <c r="C64" s="539"/>
      <c r="D64" s="539"/>
      <c r="E64" s="539"/>
      <c r="F64" s="539"/>
      <c r="G64" s="539"/>
      <c r="H64" s="540"/>
    </row>
    <row r="65" spans="1:8">
      <c r="A65" s="541" t="s">
        <v>0</v>
      </c>
      <c r="B65" s="304">
        <v>0.1</v>
      </c>
      <c r="C65" s="304">
        <f>B65+0.05</f>
        <v>0.15000000000000002</v>
      </c>
      <c r="D65" s="304">
        <f t="shared" ref="D65:G65" si="21">C65+0.05</f>
        <v>0.2</v>
      </c>
      <c r="E65" s="304">
        <f t="shared" si="21"/>
        <v>0.25</v>
      </c>
      <c r="F65" s="304">
        <f t="shared" si="21"/>
        <v>0.3</v>
      </c>
      <c r="G65" s="304">
        <f t="shared" si="21"/>
        <v>0.35</v>
      </c>
      <c r="H65" s="304">
        <f>G65+0.05</f>
        <v>0.39999999999999997</v>
      </c>
    </row>
    <row r="66" spans="1:8">
      <c r="A66" s="542"/>
      <c r="B66" s="294" t="s">
        <v>2</v>
      </c>
      <c r="C66" s="294" t="s">
        <v>3</v>
      </c>
      <c r="D66" s="294" t="s">
        <v>4</v>
      </c>
      <c r="E66" s="294" t="s">
        <v>5</v>
      </c>
      <c r="F66" s="294" t="s">
        <v>6</v>
      </c>
      <c r="G66" s="294" t="s">
        <v>169</v>
      </c>
      <c r="H66" s="294" t="s">
        <v>168</v>
      </c>
    </row>
    <row r="67" spans="1:8" s="13" customFormat="1">
      <c r="A67" s="10" t="str">
        <f t="shared" ref="A67:A87" si="22">A42</f>
        <v>Soybean</v>
      </c>
      <c r="B67" s="10">
        <f>H14*$B$65*0</f>
        <v>0</v>
      </c>
      <c r="C67" s="10">
        <f>(B67/B$65)*C$65</f>
        <v>0</v>
      </c>
      <c r="D67" s="10">
        <f t="shared" ref="D67:H68" si="23">(C67/C$65)*D$65</f>
        <v>0</v>
      </c>
      <c r="E67" s="10">
        <f t="shared" si="23"/>
        <v>0</v>
      </c>
      <c r="F67" s="10">
        <f t="shared" si="23"/>
        <v>0</v>
      </c>
      <c r="G67" s="10">
        <f t="shared" si="23"/>
        <v>0</v>
      </c>
      <c r="H67" s="10">
        <f t="shared" si="23"/>
        <v>0</v>
      </c>
    </row>
    <row r="68" spans="1:8">
      <c r="A68" s="10" t="str">
        <f t="shared" si="22"/>
        <v>Red Gram/Tur</v>
      </c>
      <c r="B68" s="10">
        <f>H15*$B$65*0</f>
        <v>0</v>
      </c>
      <c r="C68" s="10">
        <f>(B68/B$65)*C$65</f>
        <v>0</v>
      </c>
      <c r="D68" s="10">
        <f t="shared" si="23"/>
        <v>0</v>
      </c>
      <c r="E68" s="10">
        <f t="shared" si="23"/>
        <v>0</v>
      </c>
      <c r="F68" s="10">
        <f t="shared" si="23"/>
        <v>0</v>
      </c>
      <c r="G68" s="10">
        <f t="shared" si="23"/>
        <v>0</v>
      </c>
      <c r="H68" s="10">
        <f t="shared" si="23"/>
        <v>0</v>
      </c>
    </row>
    <row r="69" spans="1:8">
      <c r="A69" s="10" t="str">
        <f t="shared" si="22"/>
        <v>Paddy/Rice</v>
      </c>
      <c r="B69" s="10">
        <f t="shared" ref="B69:B75" si="24">H16*$B$65</f>
        <v>0</v>
      </c>
      <c r="C69" s="10">
        <f t="shared" ref="C69:H69" si="25">(B69/B$65)*C$65</f>
        <v>0</v>
      </c>
      <c r="D69" s="10">
        <f t="shared" si="25"/>
        <v>0</v>
      </c>
      <c r="E69" s="10">
        <f t="shared" si="25"/>
        <v>0</v>
      </c>
      <c r="F69" s="10">
        <f t="shared" si="25"/>
        <v>0</v>
      </c>
      <c r="G69" s="10">
        <f t="shared" si="25"/>
        <v>0</v>
      </c>
      <c r="H69" s="10">
        <f t="shared" si="25"/>
        <v>0</v>
      </c>
    </row>
    <row r="70" spans="1:8">
      <c r="A70" s="10" t="str">
        <f t="shared" si="22"/>
        <v>Green Gram/ Moong</v>
      </c>
      <c r="B70" s="10">
        <f t="shared" si="24"/>
        <v>0</v>
      </c>
      <c r="C70" s="10">
        <f t="shared" ref="C70:H70" si="26">(B70/B$65)*C$65</f>
        <v>0</v>
      </c>
      <c r="D70" s="10">
        <f t="shared" si="26"/>
        <v>0</v>
      </c>
      <c r="E70" s="10">
        <f t="shared" si="26"/>
        <v>0</v>
      </c>
      <c r="F70" s="10">
        <f t="shared" si="26"/>
        <v>0</v>
      </c>
      <c r="G70" s="10">
        <f t="shared" si="26"/>
        <v>0</v>
      </c>
      <c r="H70" s="10">
        <f t="shared" si="26"/>
        <v>0</v>
      </c>
    </row>
    <row r="71" spans="1:8">
      <c r="A71" s="10" t="str">
        <f t="shared" si="22"/>
        <v>Maize</v>
      </c>
      <c r="B71" s="10">
        <f t="shared" si="24"/>
        <v>0</v>
      </c>
      <c r="C71" s="10">
        <f t="shared" ref="C71:H71" si="27">(B71/B$65)*C$65</f>
        <v>0</v>
      </c>
      <c r="D71" s="10">
        <f t="shared" si="27"/>
        <v>0</v>
      </c>
      <c r="E71" s="10">
        <f t="shared" si="27"/>
        <v>0</v>
      </c>
      <c r="F71" s="10">
        <f t="shared" si="27"/>
        <v>0</v>
      </c>
      <c r="G71" s="10">
        <f t="shared" si="27"/>
        <v>0</v>
      </c>
      <c r="H71" s="10">
        <f t="shared" si="27"/>
        <v>0</v>
      </c>
    </row>
    <row r="72" spans="1:8">
      <c r="A72" s="10" t="str">
        <f t="shared" si="22"/>
        <v>Black Gram/Udid</v>
      </c>
      <c r="B72" s="10">
        <f t="shared" si="24"/>
        <v>0</v>
      </c>
      <c r="C72" s="10">
        <f t="shared" ref="C72:H72" si="28">(B72/B$65)*C$65</f>
        <v>0</v>
      </c>
      <c r="D72" s="10">
        <f t="shared" si="28"/>
        <v>0</v>
      </c>
      <c r="E72" s="10">
        <f t="shared" si="28"/>
        <v>0</v>
      </c>
      <c r="F72" s="10">
        <f t="shared" si="28"/>
        <v>0</v>
      </c>
      <c r="G72" s="10">
        <f t="shared" si="28"/>
        <v>0</v>
      </c>
      <c r="H72" s="10">
        <f t="shared" si="28"/>
        <v>0</v>
      </c>
    </row>
    <row r="73" spans="1:8">
      <c r="A73" s="10" t="str">
        <f t="shared" si="22"/>
        <v>Bajra</v>
      </c>
      <c r="B73" s="10">
        <f t="shared" si="24"/>
        <v>0</v>
      </c>
      <c r="C73" s="10">
        <f t="shared" ref="C73:H73" si="29">(B73/B$65)*C$65</f>
        <v>0</v>
      </c>
      <c r="D73" s="10">
        <f t="shared" si="29"/>
        <v>0</v>
      </c>
      <c r="E73" s="10">
        <f t="shared" si="29"/>
        <v>0</v>
      </c>
      <c r="F73" s="10">
        <f t="shared" si="29"/>
        <v>0</v>
      </c>
      <c r="G73" s="10">
        <f t="shared" si="29"/>
        <v>0</v>
      </c>
      <c r="H73" s="10">
        <f t="shared" si="29"/>
        <v>0</v>
      </c>
    </row>
    <row r="74" spans="1:8">
      <c r="A74" s="10" t="str">
        <f t="shared" si="22"/>
        <v>Jawar</v>
      </c>
      <c r="B74" s="10">
        <f t="shared" si="24"/>
        <v>0</v>
      </c>
      <c r="C74" s="10">
        <f t="shared" ref="C74:H74" si="30">(B74/B$65)*C$65</f>
        <v>0</v>
      </c>
      <c r="D74" s="10">
        <f t="shared" si="30"/>
        <v>0</v>
      </c>
      <c r="E74" s="10">
        <f t="shared" si="30"/>
        <v>0</v>
      </c>
      <c r="F74" s="10">
        <f t="shared" si="30"/>
        <v>0</v>
      </c>
      <c r="G74" s="10">
        <f t="shared" si="30"/>
        <v>0</v>
      </c>
      <c r="H74" s="10">
        <f t="shared" si="30"/>
        <v>0</v>
      </c>
    </row>
    <row r="75" spans="1:8">
      <c r="A75" s="10" t="str">
        <f t="shared" si="22"/>
        <v>Sunflower</v>
      </c>
      <c r="B75" s="10">
        <f t="shared" si="24"/>
        <v>0</v>
      </c>
      <c r="C75" s="10">
        <f t="shared" ref="C75:H75" si="31">(B75/B$65)*C$65</f>
        <v>0</v>
      </c>
      <c r="D75" s="10">
        <f t="shared" si="31"/>
        <v>0</v>
      </c>
      <c r="E75" s="10">
        <f t="shared" si="31"/>
        <v>0</v>
      </c>
      <c r="F75" s="10">
        <f t="shared" si="31"/>
        <v>0</v>
      </c>
      <c r="G75" s="10">
        <f t="shared" si="31"/>
        <v>0</v>
      </c>
      <c r="H75" s="10">
        <f t="shared" si="31"/>
        <v>0</v>
      </c>
    </row>
    <row r="76" spans="1:8">
      <c r="A76" s="10" t="str">
        <f t="shared" si="22"/>
        <v>Wheat</v>
      </c>
      <c r="B76" s="10">
        <f>H24*$B$65*0</f>
        <v>0</v>
      </c>
      <c r="C76" s="10">
        <f t="shared" ref="C76:H76" si="32">(B76/B$65)*C$65</f>
        <v>0</v>
      </c>
      <c r="D76" s="10">
        <f t="shared" si="32"/>
        <v>0</v>
      </c>
      <c r="E76" s="10">
        <f t="shared" si="32"/>
        <v>0</v>
      </c>
      <c r="F76" s="10">
        <f t="shared" si="32"/>
        <v>0</v>
      </c>
      <c r="G76" s="10">
        <f t="shared" si="32"/>
        <v>0</v>
      </c>
      <c r="H76" s="10">
        <f t="shared" si="32"/>
        <v>0</v>
      </c>
    </row>
    <row r="77" spans="1:8">
      <c r="A77" s="10" t="str">
        <f t="shared" si="22"/>
        <v>Bengal Gram/Channa</v>
      </c>
      <c r="B77" s="10">
        <f>H25*$B$65*0</f>
        <v>0</v>
      </c>
      <c r="C77" s="10">
        <f t="shared" ref="C77:H77" si="33">(B77/B$65)*C$65</f>
        <v>0</v>
      </c>
      <c r="D77" s="10">
        <f t="shared" si="33"/>
        <v>0</v>
      </c>
      <c r="E77" s="10">
        <f t="shared" si="33"/>
        <v>0</v>
      </c>
      <c r="F77" s="10">
        <f t="shared" si="33"/>
        <v>0</v>
      </c>
      <c r="G77" s="10">
        <f t="shared" si="33"/>
        <v>0</v>
      </c>
      <c r="H77" s="10">
        <f t="shared" si="33"/>
        <v>0</v>
      </c>
    </row>
    <row r="78" spans="1:8">
      <c r="A78" s="10" t="str">
        <f t="shared" si="22"/>
        <v>Jawar</v>
      </c>
      <c r="B78" s="10">
        <f t="shared" ref="B78:B83" si="34">H26*$B$65</f>
        <v>0</v>
      </c>
      <c r="C78" s="10">
        <f t="shared" ref="C78:H78" si="35">(B78/B$65)*C$65</f>
        <v>0</v>
      </c>
      <c r="D78" s="10">
        <f t="shared" si="35"/>
        <v>0</v>
      </c>
      <c r="E78" s="10">
        <f t="shared" si="35"/>
        <v>0</v>
      </c>
      <c r="F78" s="10">
        <f t="shared" si="35"/>
        <v>0</v>
      </c>
      <c r="G78" s="10">
        <f t="shared" si="35"/>
        <v>0</v>
      </c>
      <c r="H78" s="10">
        <f t="shared" si="35"/>
        <v>0</v>
      </c>
    </row>
    <row r="79" spans="1:8">
      <c r="A79" s="10" t="str">
        <f t="shared" si="22"/>
        <v>Maize</v>
      </c>
      <c r="B79" s="10">
        <f t="shared" si="34"/>
        <v>0</v>
      </c>
      <c r="C79" s="10">
        <f t="shared" ref="C79:H79" si="36">(B79/B$65)*C$65</f>
        <v>0</v>
      </c>
      <c r="D79" s="10">
        <f t="shared" si="36"/>
        <v>0</v>
      </c>
      <c r="E79" s="10">
        <f t="shared" si="36"/>
        <v>0</v>
      </c>
      <c r="F79" s="10">
        <f t="shared" si="36"/>
        <v>0</v>
      </c>
      <c r="G79" s="10">
        <f t="shared" si="36"/>
        <v>0</v>
      </c>
      <c r="H79" s="10">
        <f t="shared" si="36"/>
        <v>0</v>
      </c>
    </row>
    <row r="80" spans="1:8">
      <c r="A80" s="10" t="str">
        <f t="shared" si="22"/>
        <v>Safflower</v>
      </c>
      <c r="B80" s="10">
        <f t="shared" si="34"/>
        <v>0</v>
      </c>
      <c r="C80" s="10">
        <f t="shared" ref="C80:H80" si="37">(B80/B$65)*C$65</f>
        <v>0</v>
      </c>
      <c r="D80" s="10">
        <f t="shared" si="37"/>
        <v>0</v>
      </c>
      <c r="E80" s="10">
        <f t="shared" si="37"/>
        <v>0</v>
      </c>
      <c r="F80" s="10">
        <f t="shared" si="37"/>
        <v>0</v>
      </c>
      <c r="G80" s="10">
        <f t="shared" si="37"/>
        <v>0</v>
      </c>
      <c r="H80" s="10">
        <f t="shared" si="37"/>
        <v>0</v>
      </c>
    </row>
    <row r="81" spans="1:9">
      <c r="A81" s="10">
        <f t="shared" si="22"/>
        <v>0</v>
      </c>
      <c r="B81" s="10">
        <f t="shared" si="34"/>
        <v>0</v>
      </c>
      <c r="C81" s="10">
        <f t="shared" ref="C81:H81" si="38">(B81/B$65)*C$65</f>
        <v>0</v>
      </c>
      <c r="D81" s="10">
        <f t="shared" si="38"/>
        <v>0</v>
      </c>
      <c r="E81" s="10">
        <f t="shared" si="38"/>
        <v>0</v>
      </c>
      <c r="F81" s="10">
        <f t="shared" si="38"/>
        <v>0</v>
      </c>
      <c r="G81" s="10">
        <f t="shared" si="38"/>
        <v>0</v>
      </c>
      <c r="H81" s="10">
        <f t="shared" si="38"/>
        <v>0</v>
      </c>
    </row>
    <row r="82" spans="1:9">
      <c r="A82" s="10">
        <f t="shared" si="22"/>
        <v>0</v>
      </c>
      <c r="B82" s="10">
        <f t="shared" si="34"/>
        <v>0</v>
      </c>
      <c r="C82" s="10">
        <f t="shared" ref="C82:H82" si="39">(B82/B$65)*C$65</f>
        <v>0</v>
      </c>
      <c r="D82" s="10">
        <f t="shared" si="39"/>
        <v>0</v>
      </c>
      <c r="E82" s="10">
        <f t="shared" si="39"/>
        <v>0</v>
      </c>
      <c r="F82" s="10">
        <f t="shared" si="39"/>
        <v>0</v>
      </c>
      <c r="G82" s="10">
        <f t="shared" si="39"/>
        <v>0</v>
      </c>
      <c r="H82" s="10">
        <f t="shared" si="39"/>
        <v>0</v>
      </c>
    </row>
    <row r="83" spans="1:9">
      <c r="A83" s="10">
        <f t="shared" si="22"/>
        <v>0</v>
      </c>
      <c r="B83" s="10">
        <f t="shared" si="34"/>
        <v>0</v>
      </c>
      <c r="C83" s="10">
        <f t="shared" ref="C83:H83" si="40">(B83/B$65)*C$65</f>
        <v>0</v>
      </c>
      <c r="D83" s="10">
        <f t="shared" si="40"/>
        <v>0</v>
      </c>
      <c r="E83" s="10">
        <f t="shared" si="40"/>
        <v>0</v>
      </c>
      <c r="F83" s="10">
        <f t="shared" si="40"/>
        <v>0</v>
      </c>
      <c r="G83" s="10">
        <f t="shared" si="40"/>
        <v>0</v>
      </c>
      <c r="H83" s="10">
        <f t="shared" si="40"/>
        <v>0</v>
      </c>
    </row>
    <row r="84" spans="1:9">
      <c r="A84" s="10" t="str">
        <f t="shared" si="22"/>
        <v>Groundnut</v>
      </c>
      <c r="B84" s="10">
        <f>H33*$B$65</f>
        <v>0</v>
      </c>
      <c r="C84" s="10">
        <f t="shared" ref="C84:H84" si="41">(B84/B$65)*C$65</f>
        <v>0</v>
      </c>
      <c r="D84" s="10">
        <f t="shared" si="41"/>
        <v>0</v>
      </c>
      <c r="E84" s="10">
        <f t="shared" si="41"/>
        <v>0</v>
      </c>
      <c r="F84" s="10">
        <f t="shared" si="41"/>
        <v>0</v>
      </c>
      <c r="G84" s="10">
        <f t="shared" si="41"/>
        <v>0</v>
      </c>
      <c r="H84" s="10">
        <f t="shared" si="41"/>
        <v>0</v>
      </c>
    </row>
    <row r="85" spans="1:9">
      <c r="A85" s="10">
        <f t="shared" si="22"/>
        <v>0</v>
      </c>
      <c r="B85" s="10">
        <f>H34*$B$65</f>
        <v>0</v>
      </c>
      <c r="C85" s="10">
        <f t="shared" ref="C85:H85" si="42">(B85/B$65)*C$65</f>
        <v>0</v>
      </c>
      <c r="D85" s="10">
        <f t="shared" si="42"/>
        <v>0</v>
      </c>
      <c r="E85" s="10">
        <f t="shared" si="42"/>
        <v>0</v>
      </c>
      <c r="F85" s="10">
        <f t="shared" si="42"/>
        <v>0</v>
      </c>
      <c r="G85" s="10">
        <f t="shared" si="42"/>
        <v>0</v>
      </c>
      <c r="H85" s="10">
        <f t="shared" si="42"/>
        <v>0</v>
      </c>
    </row>
    <row r="86" spans="1:9">
      <c r="A86" s="10">
        <f t="shared" si="22"/>
        <v>0</v>
      </c>
      <c r="B86" s="10">
        <f>H35*$B$65</f>
        <v>0</v>
      </c>
      <c r="C86" s="10">
        <f t="shared" ref="C86:H86" si="43">(B86/B$65)*C$65</f>
        <v>0</v>
      </c>
      <c r="D86" s="10">
        <f t="shared" si="43"/>
        <v>0</v>
      </c>
      <c r="E86" s="10">
        <f t="shared" si="43"/>
        <v>0</v>
      </c>
      <c r="F86" s="10">
        <f t="shared" si="43"/>
        <v>0</v>
      </c>
      <c r="G86" s="10">
        <f t="shared" si="43"/>
        <v>0</v>
      </c>
      <c r="H86" s="10">
        <f t="shared" si="43"/>
        <v>0</v>
      </c>
    </row>
    <row r="87" spans="1:9">
      <c r="A87" s="10">
        <f t="shared" si="22"/>
        <v>0</v>
      </c>
      <c r="B87" s="10">
        <f>H36*$B$65</f>
        <v>0</v>
      </c>
      <c r="C87" s="10">
        <f t="shared" ref="C87:H87" si="44">(B87/B$65)*C$65</f>
        <v>0</v>
      </c>
      <c r="D87" s="10">
        <f t="shared" si="44"/>
        <v>0</v>
      </c>
      <c r="E87" s="10">
        <f t="shared" si="44"/>
        <v>0</v>
      </c>
      <c r="F87" s="10">
        <f t="shared" si="44"/>
        <v>0</v>
      </c>
      <c r="G87" s="10">
        <f t="shared" si="44"/>
        <v>0</v>
      </c>
      <c r="H87" s="10">
        <f t="shared" si="44"/>
        <v>0</v>
      </c>
    </row>
    <row r="88" spans="1:9">
      <c r="B88" s="282"/>
      <c r="C88" s="282"/>
      <c r="D88" s="282"/>
      <c r="E88" s="282"/>
      <c r="F88" s="282"/>
      <c r="G88" s="282"/>
      <c r="H88" s="282"/>
      <c r="I88" s="282"/>
    </row>
    <row r="89" spans="1:9">
      <c r="A89" s="543" t="s">
        <v>570</v>
      </c>
      <c r="B89" s="544"/>
      <c r="C89" s="544"/>
      <c r="D89" s="544"/>
      <c r="E89" s="544"/>
      <c r="F89" s="544"/>
      <c r="G89" s="544"/>
      <c r="H89" s="545"/>
    </row>
    <row r="90" spans="1:9">
      <c r="A90" s="527" t="s">
        <v>0</v>
      </c>
      <c r="B90" s="328">
        <v>0.65</v>
      </c>
      <c r="C90" s="329">
        <f>B90+0.05</f>
        <v>0.70000000000000007</v>
      </c>
      <c r="D90" s="329">
        <f t="shared" ref="D90:G90" si="45">C90+0.05</f>
        <v>0.75000000000000011</v>
      </c>
      <c r="E90" s="329">
        <f t="shared" si="45"/>
        <v>0.80000000000000016</v>
      </c>
      <c r="F90" s="329">
        <f t="shared" si="45"/>
        <v>0.8500000000000002</v>
      </c>
      <c r="G90" s="329">
        <f t="shared" si="45"/>
        <v>0.90000000000000024</v>
      </c>
      <c r="H90" s="329">
        <f>G90+0.05</f>
        <v>0.95000000000000029</v>
      </c>
    </row>
    <row r="91" spans="1:9">
      <c r="A91" s="528"/>
      <c r="B91" s="294" t="s">
        <v>2</v>
      </c>
      <c r="C91" s="294" t="s">
        <v>3</v>
      </c>
      <c r="D91" s="294" t="s">
        <v>4</v>
      </c>
      <c r="E91" s="294" t="s">
        <v>5</v>
      </c>
      <c r="F91" s="294" t="s">
        <v>6</v>
      </c>
      <c r="G91" s="294" t="s">
        <v>169</v>
      </c>
      <c r="H91" s="294" t="s">
        <v>168</v>
      </c>
    </row>
    <row r="92" spans="1:9" s="13" customFormat="1">
      <c r="A92" s="10" t="str">
        <f t="shared" ref="A92:A112" si="46">A67</f>
        <v>Soybean</v>
      </c>
      <c r="B92" s="10">
        <f>D14*$B$90*0</f>
        <v>0</v>
      </c>
      <c r="C92" s="291">
        <f t="shared" ref="C92:H92" si="47">(B92/B$90)*C$90</f>
        <v>0</v>
      </c>
      <c r="D92" s="291">
        <f t="shared" si="47"/>
        <v>0</v>
      </c>
      <c r="E92" s="291">
        <f t="shared" si="47"/>
        <v>0</v>
      </c>
      <c r="F92" s="291">
        <f t="shared" si="47"/>
        <v>0</v>
      </c>
      <c r="G92" s="291">
        <f t="shared" si="47"/>
        <v>0</v>
      </c>
      <c r="H92" s="291">
        <f t="shared" si="47"/>
        <v>0</v>
      </c>
    </row>
    <row r="93" spans="1:9">
      <c r="A93" s="10" t="str">
        <f t="shared" si="46"/>
        <v>Red Gram/Tur</v>
      </c>
      <c r="B93" s="10">
        <f>D15*$B$90*0</f>
        <v>0</v>
      </c>
      <c r="C93" s="291">
        <f t="shared" ref="C93:C113" si="48">(B93/B$90)*C$90</f>
        <v>0</v>
      </c>
      <c r="D93" s="291">
        <f>(C93/C90)*D90</f>
        <v>0</v>
      </c>
      <c r="E93" s="291">
        <f t="shared" ref="E93:G93" si="49">(D93/D90)*E90</f>
        <v>0</v>
      </c>
      <c r="F93" s="291">
        <f t="shared" si="49"/>
        <v>0</v>
      </c>
      <c r="G93" s="291">
        <f t="shared" si="49"/>
        <v>0</v>
      </c>
      <c r="H93" s="291">
        <f>(G93/G90)*H90</f>
        <v>0</v>
      </c>
    </row>
    <row r="94" spans="1:9">
      <c r="A94" s="10" t="str">
        <f t="shared" si="46"/>
        <v>Paddy/Rice</v>
      </c>
      <c r="B94" s="10">
        <f t="shared" ref="B94:B100" si="50">D16*$B$90</f>
        <v>0</v>
      </c>
      <c r="C94" s="291">
        <f t="shared" si="48"/>
        <v>0</v>
      </c>
      <c r="D94" s="291">
        <f t="shared" ref="D94:H103" si="51">(C94/C$90)*D$90</f>
        <v>0</v>
      </c>
      <c r="E94" s="291">
        <f t="shared" si="51"/>
        <v>0</v>
      </c>
      <c r="F94" s="291">
        <f t="shared" si="51"/>
        <v>0</v>
      </c>
      <c r="G94" s="291">
        <f t="shared" si="51"/>
        <v>0</v>
      </c>
      <c r="H94" s="291">
        <f t="shared" si="51"/>
        <v>0</v>
      </c>
    </row>
    <row r="95" spans="1:9">
      <c r="A95" s="10" t="str">
        <f t="shared" si="46"/>
        <v>Green Gram/ Moong</v>
      </c>
      <c r="B95" s="10">
        <f t="shared" si="50"/>
        <v>0</v>
      </c>
      <c r="C95" s="291">
        <f t="shared" si="48"/>
        <v>0</v>
      </c>
      <c r="D95" s="291">
        <f t="shared" si="51"/>
        <v>0</v>
      </c>
      <c r="E95" s="291">
        <f t="shared" si="51"/>
        <v>0</v>
      </c>
      <c r="F95" s="291">
        <f t="shared" si="51"/>
        <v>0</v>
      </c>
      <c r="G95" s="291">
        <f t="shared" si="51"/>
        <v>0</v>
      </c>
      <c r="H95" s="291">
        <f t="shared" si="51"/>
        <v>0</v>
      </c>
    </row>
    <row r="96" spans="1:9">
      <c r="A96" s="10" t="str">
        <f t="shared" si="46"/>
        <v>Maize</v>
      </c>
      <c r="B96" s="291">
        <f t="shared" si="50"/>
        <v>0</v>
      </c>
      <c r="C96" s="291">
        <f t="shared" si="48"/>
        <v>0</v>
      </c>
      <c r="D96" s="291">
        <f t="shared" si="51"/>
        <v>0</v>
      </c>
      <c r="E96" s="291">
        <f t="shared" si="51"/>
        <v>0</v>
      </c>
      <c r="F96" s="291">
        <f t="shared" si="51"/>
        <v>0</v>
      </c>
      <c r="G96" s="291">
        <f t="shared" si="51"/>
        <v>0</v>
      </c>
      <c r="H96" s="291">
        <f t="shared" si="51"/>
        <v>0</v>
      </c>
    </row>
    <row r="97" spans="1:8">
      <c r="A97" s="10" t="str">
        <f t="shared" si="46"/>
        <v>Black Gram/Udid</v>
      </c>
      <c r="B97" s="10">
        <f t="shared" si="50"/>
        <v>0</v>
      </c>
      <c r="C97" s="291">
        <f t="shared" si="48"/>
        <v>0</v>
      </c>
      <c r="D97" s="291">
        <f t="shared" si="51"/>
        <v>0</v>
      </c>
      <c r="E97" s="291">
        <f t="shared" si="51"/>
        <v>0</v>
      </c>
      <c r="F97" s="291">
        <f t="shared" si="51"/>
        <v>0</v>
      </c>
      <c r="G97" s="291">
        <f t="shared" si="51"/>
        <v>0</v>
      </c>
      <c r="H97" s="291">
        <f t="shared" si="51"/>
        <v>0</v>
      </c>
    </row>
    <row r="98" spans="1:8">
      <c r="A98" s="10" t="str">
        <f t="shared" si="46"/>
        <v>Bajra</v>
      </c>
      <c r="B98" s="10">
        <f t="shared" si="50"/>
        <v>0</v>
      </c>
      <c r="C98" s="291">
        <f t="shared" si="48"/>
        <v>0</v>
      </c>
      <c r="D98" s="291">
        <f t="shared" si="51"/>
        <v>0</v>
      </c>
      <c r="E98" s="291">
        <f t="shared" si="51"/>
        <v>0</v>
      </c>
      <c r="F98" s="291">
        <f t="shared" si="51"/>
        <v>0</v>
      </c>
      <c r="G98" s="291">
        <f t="shared" si="51"/>
        <v>0</v>
      </c>
      <c r="H98" s="291">
        <f t="shared" si="51"/>
        <v>0</v>
      </c>
    </row>
    <row r="99" spans="1:8">
      <c r="A99" s="10" t="str">
        <f t="shared" si="46"/>
        <v>Jawar</v>
      </c>
      <c r="B99" s="10">
        <f t="shared" si="50"/>
        <v>0</v>
      </c>
      <c r="C99" s="291">
        <f t="shared" si="48"/>
        <v>0</v>
      </c>
      <c r="D99" s="291">
        <f t="shared" si="51"/>
        <v>0</v>
      </c>
      <c r="E99" s="291">
        <f t="shared" si="51"/>
        <v>0</v>
      </c>
      <c r="F99" s="291">
        <f t="shared" si="51"/>
        <v>0</v>
      </c>
      <c r="G99" s="291">
        <f t="shared" si="51"/>
        <v>0</v>
      </c>
      <c r="H99" s="291">
        <f t="shared" si="51"/>
        <v>0</v>
      </c>
    </row>
    <row r="100" spans="1:8">
      <c r="A100" s="10" t="str">
        <f t="shared" si="46"/>
        <v>Sunflower</v>
      </c>
      <c r="B100" s="10">
        <f t="shared" si="50"/>
        <v>0</v>
      </c>
      <c r="C100" s="291">
        <f t="shared" si="48"/>
        <v>0</v>
      </c>
      <c r="D100" s="291">
        <f t="shared" si="51"/>
        <v>0</v>
      </c>
      <c r="E100" s="291">
        <f t="shared" si="51"/>
        <v>0</v>
      </c>
      <c r="F100" s="291">
        <f t="shared" si="51"/>
        <v>0</v>
      </c>
      <c r="G100" s="291">
        <f t="shared" si="51"/>
        <v>0</v>
      </c>
      <c r="H100" s="291">
        <f t="shared" si="51"/>
        <v>0</v>
      </c>
    </row>
    <row r="101" spans="1:8">
      <c r="A101" s="10" t="str">
        <f t="shared" si="46"/>
        <v>Wheat</v>
      </c>
      <c r="B101" s="10">
        <f>D24*$B$90*0</f>
        <v>0</v>
      </c>
      <c r="C101" s="291">
        <f t="shared" si="48"/>
        <v>0</v>
      </c>
      <c r="D101" s="291">
        <f t="shared" si="51"/>
        <v>0</v>
      </c>
      <c r="E101" s="291">
        <f t="shared" si="51"/>
        <v>0</v>
      </c>
      <c r="F101" s="291">
        <f t="shared" si="51"/>
        <v>0</v>
      </c>
      <c r="G101" s="291">
        <f t="shared" si="51"/>
        <v>0</v>
      </c>
      <c r="H101" s="291">
        <f t="shared" si="51"/>
        <v>0</v>
      </c>
    </row>
    <row r="102" spans="1:8">
      <c r="A102" s="10" t="str">
        <f t="shared" si="46"/>
        <v>Bengal Gram/Channa</v>
      </c>
      <c r="B102" s="10">
        <f>D25*$B$90*0</f>
        <v>0</v>
      </c>
      <c r="C102" s="291">
        <f t="shared" si="48"/>
        <v>0</v>
      </c>
      <c r="D102" s="291">
        <f t="shared" si="51"/>
        <v>0</v>
      </c>
      <c r="E102" s="291">
        <f t="shared" si="51"/>
        <v>0</v>
      </c>
      <c r="F102" s="291">
        <f t="shared" si="51"/>
        <v>0</v>
      </c>
      <c r="G102" s="291">
        <f t="shared" si="51"/>
        <v>0</v>
      </c>
      <c r="H102" s="291">
        <f t="shared" si="51"/>
        <v>0</v>
      </c>
    </row>
    <row r="103" spans="1:8">
      <c r="A103" s="10" t="str">
        <f t="shared" si="46"/>
        <v>Jawar</v>
      </c>
      <c r="B103" s="10">
        <f t="shared" ref="B103:B108" si="52">D26*$B$90</f>
        <v>0</v>
      </c>
      <c r="C103" s="291">
        <f t="shared" si="48"/>
        <v>0</v>
      </c>
      <c r="D103" s="291">
        <f t="shared" si="51"/>
        <v>0</v>
      </c>
      <c r="E103" s="291">
        <f t="shared" si="51"/>
        <v>0</v>
      </c>
      <c r="F103" s="291">
        <f t="shared" si="51"/>
        <v>0</v>
      </c>
      <c r="G103" s="291">
        <f t="shared" si="51"/>
        <v>0</v>
      </c>
      <c r="H103" s="291">
        <f t="shared" si="51"/>
        <v>0</v>
      </c>
    </row>
    <row r="104" spans="1:8">
      <c r="A104" s="10" t="str">
        <f t="shared" si="46"/>
        <v>Maize</v>
      </c>
      <c r="B104" s="10">
        <f t="shared" si="52"/>
        <v>0</v>
      </c>
      <c r="C104" s="291">
        <f t="shared" si="48"/>
        <v>0</v>
      </c>
      <c r="D104" s="291">
        <f t="shared" ref="D104:H113" si="53">(C104/C$90)*D$90</f>
        <v>0</v>
      </c>
      <c r="E104" s="291">
        <f t="shared" si="53"/>
        <v>0</v>
      </c>
      <c r="F104" s="291">
        <f t="shared" si="53"/>
        <v>0</v>
      </c>
      <c r="G104" s="291">
        <f t="shared" si="53"/>
        <v>0</v>
      </c>
      <c r="H104" s="291">
        <f t="shared" si="53"/>
        <v>0</v>
      </c>
    </row>
    <row r="105" spans="1:8">
      <c r="A105" s="10" t="str">
        <f t="shared" si="46"/>
        <v>Safflower</v>
      </c>
      <c r="B105" s="10">
        <f t="shared" si="52"/>
        <v>0</v>
      </c>
      <c r="C105" s="291">
        <f t="shared" si="48"/>
        <v>0</v>
      </c>
      <c r="D105" s="291">
        <f t="shared" si="53"/>
        <v>0</v>
      </c>
      <c r="E105" s="291">
        <f t="shared" si="53"/>
        <v>0</v>
      </c>
      <c r="F105" s="291">
        <f t="shared" si="53"/>
        <v>0</v>
      </c>
      <c r="G105" s="291">
        <f t="shared" si="53"/>
        <v>0</v>
      </c>
      <c r="H105" s="291">
        <f t="shared" si="53"/>
        <v>0</v>
      </c>
    </row>
    <row r="106" spans="1:8">
      <c r="A106" s="10">
        <f t="shared" si="46"/>
        <v>0</v>
      </c>
      <c r="B106" s="10">
        <f t="shared" si="52"/>
        <v>0</v>
      </c>
      <c r="C106" s="291">
        <f t="shared" si="48"/>
        <v>0</v>
      </c>
      <c r="D106" s="291">
        <f t="shared" si="53"/>
        <v>0</v>
      </c>
      <c r="E106" s="291">
        <f t="shared" si="53"/>
        <v>0</v>
      </c>
      <c r="F106" s="291">
        <f t="shared" si="53"/>
        <v>0</v>
      </c>
      <c r="G106" s="291">
        <f t="shared" si="53"/>
        <v>0</v>
      </c>
      <c r="H106" s="291">
        <f t="shared" si="53"/>
        <v>0</v>
      </c>
    </row>
    <row r="107" spans="1:8">
      <c r="A107" s="10">
        <f t="shared" si="46"/>
        <v>0</v>
      </c>
      <c r="B107" s="10">
        <f t="shared" si="52"/>
        <v>0</v>
      </c>
      <c r="C107" s="291">
        <f t="shared" si="48"/>
        <v>0</v>
      </c>
      <c r="D107" s="291">
        <f t="shared" si="53"/>
        <v>0</v>
      </c>
      <c r="E107" s="291">
        <f t="shared" si="53"/>
        <v>0</v>
      </c>
      <c r="F107" s="291">
        <f t="shared" si="53"/>
        <v>0</v>
      </c>
      <c r="G107" s="291">
        <f t="shared" si="53"/>
        <v>0</v>
      </c>
      <c r="H107" s="291">
        <f t="shared" si="53"/>
        <v>0</v>
      </c>
    </row>
    <row r="108" spans="1:8">
      <c r="A108" s="10">
        <f t="shared" si="46"/>
        <v>0</v>
      </c>
      <c r="B108" s="10">
        <f t="shared" si="52"/>
        <v>0</v>
      </c>
      <c r="C108" s="291">
        <f t="shared" si="48"/>
        <v>0</v>
      </c>
      <c r="D108" s="291">
        <f t="shared" si="53"/>
        <v>0</v>
      </c>
      <c r="E108" s="291">
        <f t="shared" si="53"/>
        <v>0</v>
      </c>
      <c r="F108" s="291">
        <f t="shared" si="53"/>
        <v>0</v>
      </c>
      <c r="G108" s="291">
        <f t="shared" si="53"/>
        <v>0</v>
      </c>
      <c r="H108" s="291">
        <f t="shared" si="53"/>
        <v>0</v>
      </c>
    </row>
    <row r="109" spans="1:8">
      <c r="A109" s="10" t="str">
        <f t="shared" si="46"/>
        <v>Groundnut</v>
      </c>
      <c r="B109" s="10">
        <f>D33*$B$90</f>
        <v>0</v>
      </c>
      <c r="C109" s="291">
        <f t="shared" si="48"/>
        <v>0</v>
      </c>
      <c r="D109" s="291">
        <f t="shared" si="53"/>
        <v>0</v>
      </c>
      <c r="E109" s="291">
        <f t="shared" si="53"/>
        <v>0</v>
      </c>
      <c r="F109" s="291">
        <f t="shared" si="53"/>
        <v>0</v>
      </c>
      <c r="G109" s="291">
        <f t="shared" si="53"/>
        <v>0</v>
      </c>
      <c r="H109" s="291">
        <f t="shared" si="53"/>
        <v>0</v>
      </c>
    </row>
    <row r="110" spans="1:8">
      <c r="A110" s="10">
        <f t="shared" si="46"/>
        <v>0</v>
      </c>
      <c r="B110" s="10">
        <f>D34*$B$90</f>
        <v>0</v>
      </c>
      <c r="C110" s="291">
        <f t="shared" si="48"/>
        <v>0</v>
      </c>
      <c r="D110" s="291">
        <f t="shared" si="53"/>
        <v>0</v>
      </c>
      <c r="E110" s="291">
        <f t="shared" si="53"/>
        <v>0</v>
      </c>
      <c r="F110" s="291">
        <f t="shared" si="53"/>
        <v>0</v>
      </c>
      <c r="G110" s="291">
        <f t="shared" si="53"/>
        <v>0</v>
      </c>
      <c r="H110" s="291">
        <f t="shared" si="53"/>
        <v>0</v>
      </c>
    </row>
    <row r="111" spans="1:8">
      <c r="A111" s="10">
        <f t="shared" si="46"/>
        <v>0</v>
      </c>
      <c r="B111" s="10">
        <f>D34*$B$90</f>
        <v>0</v>
      </c>
      <c r="C111" s="291">
        <f t="shared" si="48"/>
        <v>0</v>
      </c>
      <c r="D111" s="291">
        <f t="shared" si="53"/>
        <v>0</v>
      </c>
      <c r="E111" s="291">
        <f t="shared" si="53"/>
        <v>0</v>
      </c>
      <c r="F111" s="291">
        <f t="shared" si="53"/>
        <v>0</v>
      </c>
      <c r="G111" s="291">
        <f t="shared" si="53"/>
        <v>0</v>
      </c>
      <c r="H111" s="291">
        <f t="shared" si="53"/>
        <v>0</v>
      </c>
    </row>
    <row r="112" spans="1:8">
      <c r="A112" s="10">
        <f t="shared" si="46"/>
        <v>0</v>
      </c>
      <c r="B112" s="10">
        <f>D36*$B$90</f>
        <v>0</v>
      </c>
      <c r="C112" s="291">
        <f t="shared" si="48"/>
        <v>0</v>
      </c>
      <c r="D112" s="291">
        <f t="shared" si="53"/>
        <v>0</v>
      </c>
      <c r="E112" s="291">
        <f t="shared" si="53"/>
        <v>0</v>
      </c>
      <c r="F112" s="291">
        <f t="shared" si="53"/>
        <v>0</v>
      </c>
      <c r="G112" s="291">
        <f t="shared" si="53"/>
        <v>0</v>
      </c>
      <c r="H112" s="291">
        <f t="shared" si="53"/>
        <v>0</v>
      </c>
    </row>
    <row r="113" spans="1:9">
      <c r="A113" s="10"/>
      <c r="B113" s="10">
        <f>D37*$B$90</f>
        <v>0</v>
      </c>
      <c r="C113" s="291">
        <f t="shared" si="48"/>
        <v>0</v>
      </c>
      <c r="D113" s="291">
        <f t="shared" si="53"/>
        <v>0</v>
      </c>
      <c r="E113" s="291">
        <f t="shared" si="53"/>
        <v>0</v>
      </c>
      <c r="F113" s="291">
        <f t="shared" si="53"/>
        <v>0</v>
      </c>
      <c r="G113" s="291">
        <f t="shared" si="53"/>
        <v>0</v>
      </c>
      <c r="H113" s="291">
        <f t="shared" si="53"/>
        <v>0</v>
      </c>
    </row>
    <row r="115" spans="1:9">
      <c r="C115" s="4"/>
      <c r="D115" s="6"/>
      <c r="E115" s="6"/>
      <c r="F115" s="6"/>
      <c r="G115" s="6"/>
      <c r="H115" s="6"/>
      <c r="I115" s="6"/>
    </row>
    <row r="116" spans="1:9">
      <c r="A116" t="s">
        <v>539</v>
      </c>
      <c r="C116" s="292"/>
      <c r="D116" s="292"/>
      <c r="E116" s="292"/>
      <c r="F116" s="292"/>
      <c r="G116" s="292"/>
      <c r="H116" s="292"/>
      <c r="I116" s="292"/>
    </row>
    <row r="117" spans="1:9">
      <c r="A117">
        <v>1</v>
      </c>
      <c r="B117" t="s">
        <v>593</v>
      </c>
    </row>
    <row r="118" spans="1:9">
      <c r="A118">
        <v>2</v>
      </c>
      <c r="B118" t="s">
        <v>594</v>
      </c>
    </row>
    <row r="119" spans="1:9">
      <c r="A119">
        <v>3</v>
      </c>
      <c r="B119" t="s">
        <v>542</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colBreaks count="1" manualBreakCount="1">
    <brk id="8" max="11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G91" zoomScale="80" zoomScaleSheetLayoutView="80" workbookViewId="0">
      <selection activeCell="AA104" sqref="AA104"/>
    </sheetView>
  </sheetViews>
  <sheetFormatPr defaultRowHeight="14.5"/>
  <cols>
    <col min="1" max="1" width="44.2695312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453125" bestFit="1" customWidth="1"/>
    <col min="10" max="10" width="9.1796875" bestFit="1" customWidth="1"/>
  </cols>
  <sheetData>
    <row r="1" spans="1:26" ht="17.5">
      <c r="A1" s="473" t="s">
        <v>494</v>
      </c>
      <c r="B1" s="473"/>
      <c r="C1" s="473"/>
      <c r="D1" s="473"/>
      <c r="E1" s="473"/>
      <c r="F1" s="473"/>
      <c r="G1" s="473"/>
      <c r="H1" s="473"/>
    </row>
    <row r="2" spans="1:26">
      <c r="B2" s="4"/>
    </row>
    <row r="3" spans="1:26" ht="17.5">
      <c r="A3" s="526" t="s">
        <v>571</v>
      </c>
      <c r="B3" s="526"/>
    </row>
    <row r="4" spans="1:26">
      <c r="A4" s="276" t="s">
        <v>0</v>
      </c>
      <c r="B4" s="294" t="s">
        <v>380</v>
      </c>
      <c r="C4" s="295"/>
      <c r="D4" s="295"/>
      <c r="E4" s="295"/>
      <c r="F4" s="295"/>
      <c r="G4" s="295"/>
      <c r="H4" s="295"/>
    </row>
    <row r="5" spans="1:26">
      <c r="A5" s="10" t="s">
        <v>487</v>
      </c>
      <c r="B5" s="272"/>
      <c r="C5" s="296"/>
      <c r="D5" s="297"/>
      <c r="E5" s="297"/>
      <c r="F5" s="297"/>
      <c r="G5" s="297"/>
      <c r="H5" s="297"/>
    </row>
    <row r="6" spans="1:26">
      <c r="A6" s="10" t="s">
        <v>488</v>
      </c>
      <c r="B6" s="272"/>
      <c r="C6" s="296"/>
      <c r="D6" s="297"/>
      <c r="E6" s="297"/>
      <c r="F6" s="297"/>
      <c r="G6" s="297"/>
      <c r="H6" s="297"/>
    </row>
    <row r="7" spans="1:26">
      <c r="A7" s="2" t="s">
        <v>1</v>
      </c>
      <c r="B7" s="320">
        <f>B5+B6</f>
        <v>0</v>
      </c>
      <c r="C7" s="298"/>
      <c r="D7" s="299"/>
      <c r="E7" s="299"/>
      <c r="F7" s="299"/>
      <c r="G7" s="299"/>
      <c r="H7" s="299"/>
    </row>
    <row r="8" spans="1:26">
      <c r="A8" s="2" t="s">
        <v>489</v>
      </c>
      <c r="B8" s="319">
        <v>1</v>
      </c>
      <c r="C8" s="298"/>
      <c r="D8" s="298"/>
      <c r="E8" s="298"/>
      <c r="F8" s="298"/>
      <c r="G8" s="298"/>
      <c r="H8" s="298"/>
    </row>
    <row r="9" spans="1:26">
      <c r="A9" s="2" t="s">
        <v>490</v>
      </c>
      <c r="B9" s="320">
        <f>B7*B8</f>
        <v>0</v>
      </c>
      <c r="C9" s="299"/>
      <c r="D9" s="299"/>
      <c r="E9" s="299"/>
      <c r="F9" s="299"/>
      <c r="G9" s="299"/>
      <c r="H9" s="299"/>
    </row>
    <row r="10" spans="1:26">
      <c r="J10" t="s">
        <v>448</v>
      </c>
      <c r="O10" t="s">
        <v>444</v>
      </c>
      <c r="U10" t="s">
        <v>445</v>
      </c>
      <c r="Y10" t="s">
        <v>446</v>
      </c>
      <c r="Z10" t="s">
        <v>447</v>
      </c>
    </row>
    <row r="11" spans="1:26" ht="17.5">
      <c r="A11" s="473" t="s">
        <v>572</v>
      </c>
      <c r="B11" s="473"/>
      <c r="C11" s="473"/>
      <c r="D11" s="473"/>
      <c r="E11" s="473"/>
      <c r="F11" s="473"/>
      <c r="G11" s="473"/>
      <c r="H11" s="473"/>
      <c r="I11" s="271"/>
      <c r="J11" s="271"/>
      <c r="K11" s="271"/>
      <c r="L11" s="271"/>
      <c r="M11" s="271"/>
      <c r="N11" s="271"/>
      <c r="O11" s="271"/>
      <c r="P11" s="271"/>
    </row>
    <row r="12" spans="1:26">
      <c r="J12" s="3">
        <v>0.65</v>
      </c>
      <c r="K12" s="290">
        <f>J12+0.05</f>
        <v>0.70000000000000007</v>
      </c>
      <c r="L12" s="290">
        <f t="shared" ref="L12:N12" si="0">K12+0.05</f>
        <v>0.75000000000000011</v>
      </c>
      <c r="M12" s="290">
        <f t="shared" si="0"/>
        <v>0.80000000000000016</v>
      </c>
      <c r="N12" s="290">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9">
      <c r="A13" s="276" t="s">
        <v>384</v>
      </c>
      <c r="B13" s="276" t="s">
        <v>385</v>
      </c>
      <c r="C13" s="277" t="s">
        <v>440</v>
      </c>
      <c r="D13" s="277" t="s">
        <v>449</v>
      </c>
      <c r="E13" s="277" t="s">
        <v>450</v>
      </c>
      <c r="F13" s="277" t="s">
        <v>386</v>
      </c>
      <c r="G13" s="277" t="s">
        <v>441</v>
      </c>
      <c r="H13" s="277" t="s">
        <v>387</v>
      </c>
      <c r="O13" s="289" t="s">
        <v>2</v>
      </c>
      <c r="P13" s="289" t="s">
        <v>3</v>
      </c>
      <c r="Q13" s="289" t="s">
        <v>4</v>
      </c>
      <c r="R13" s="289" t="s">
        <v>5</v>
      </c>
      <c r="S13" s="289" t="s">
        <v>6</v>
      </c>
      <c r="T13" s="289" t="s">
        <v>2</v>
      </c>
      <c r="U13" s="289" t="s">
        <v>3</v>
      </c>
      <c r="V13" s="289" t="s">
        <v>4</v>
      </c>
      <c r="W13" s="289" t="s">
        <v>5</v>
      </c>
      <c r="X13" s="289" t="s">
        <v>6</v>
      </c>
    </row>
    <row r="14" spans="1:26">
      <c r="A14" s="530" t="s">
        <v>388</v>
      </c>
      <c r="B14" s="272" t="s">
        <v>477</v>
      </c>
      <c r="C14" s="287">
        <v>0</v>
      </c>
      <c r="D14" s="10">
        <f t="shared" ref="D14:D40" si="3">$B$9*C14</f>
        <v>0</v>
      </c>
      <c r="E14" s="273">
        <v>15</v>
      </c>
      <c r="F14" s="10">
        <f>D14*E14</f>
        <v>0</v>
      </c>
      <c r="G14" s="288">
        <v>0.1</v>
      </c>
      <c r="H14" s="10">
        <f>(F14-F14*G14)</f>
        <v>0</v>
      </c>
      <c r="J14">
        <f>$D$14*J12</f>
        <v>0</v>
      </c>
      <c r="K14">
        <f>$D$14*K12</f>
        <v>0</v>
      </c>
      <c r="L14">
        <f>$D$14*L12</f>
        <v>0</v>
      </c>
      <c r="M14">
        <f>$D$14*M12</f>
        <v>0</v>
      </c>
      <c r="N14">
        <f>$D$14*N12</f>
        <v>0</v>
      </c>
    </row>
    <row r="15" spans="1:26">
      <c r="A15" s="531"/>
      <c r="B15" s="272" t="s">
        <v>478</v>
      </c>
      <c r="C15" s="287">
        <v>0.1</v>
      </c>
      <c r="D15" s="10">
        <f t="shared" si="3"/>
        <v>0</v>
      </c>
      <c r="E15" s="273">
        <v>7</v>
      </c>
      <c r="F15" s="10">
        <f t="shared" ref="F15:F40" si="4">D15*E15</f>
        <v>0</v>
      </c>
      <c r="G15" s="288">
        <v>0.05</v>
      </c>
      <c r="H15" s="10">
        <f>(F15-F15*G15)</f>
        <v>0</v>
      </c>
    </row>
    <row r="16" spans="1:26">
      <c r="A16" s="531"/>
      <c r="B16" s="272" t="s">
        <v>479</v>
      </c>
      <c r="C16" s="287">
        <v>0</v>
      </c>
      <c r="D16" s="10">
        <f t="shared" si="3"/>
        <v>0</v>
      </c>
      <c r="E16" s="273">
        <v>4</v>
      </c>
      <c r="F16" s="10">
        <f t="shared" si="4"/>
        <v>0</v>
      </c>
      <c r="G16" s="288">
        <v>0</v>
      </c>
      <c r="H16" s="10">
        <f t="shared" ref="H16:H40" si="5">(F16-F16*G16)</f>
        <v>0</v>
      </c>
    </row>
    <row r="17" spans="1:8">
      <c r="A17" s="531"/>
      <c r="B17" s="272" t="s">
        <v>480</v>
      </c>
      <c r="C17" s="287">
        <v>0.05</v>
      </c>
      <c r="D17" s="10">
        <f t="shared" si="3"/>
        <v>0</v>
      </c>
      <c r="E17" s="273">
        <v>7</v>
      </c>
      <c r="F17" s="10">
        <f t="shared" si="4"/>
        <v>0</v>
      </c>
      <c r="G17" s="288">
        <v>0.02</v>
      </c>
      <c r="H17" s="10">
        <f t="shared" si="5"/>
        <v>0</v>
      </c>
    </row>
    <row r="18" spans="1:8">
      <c r="A18" s="531"/>
      <c r="B18" s="272" t="s">
        <v>482</v>
      </c>
      <c r="C18" s="287">
        <v>0</v>
      </c>
      <c r="D18" s="10">
        <f t="shared" si="3"/>
        <v>0</v>
      </c>
      <c r="E18" s="273">
        <v>20</v>
      </c>
      <c r="F18" s="10">
        <f t="shared" si="4"/>
        <v>0</v>
      </c>
      <c r="G18" s="288">
        <v>0</v>
      </c>
      <c r="H18" s="10">
        <f t="shared" si="5"/>
        <v>0</v>
      </c>
    </row>
    <row r="19" spans="1:8">
      <c r="A19" s="531"/>
      <c r="B19" s="272"/>
      <c r="C19" s="287">
        <v>0</v>
      </c>
      <c r="D19" s="10">
        <f t="shared" si="3"/>
        <v>0</v>
      </c>
      <c r="E19" s="273">
        <v>7</v>
      </c>
      <c r="F19" s="10">
        <f t="shared" si="4"/>
        <v>0</v>
      </c>
      <c r="G19" s="288">
        <v>0.1</v>
      </c>
      <c r="H19" s="10">
        <f t="shared" si="5"/>
        <v>0</v>
      </c>
    </row>
    <row r="20" spans="1:8">
      <c r="A20" s="531"/>
      <c r="B20" s="272"/>
      <c r="C20" s="287">
        <v>0</v>
      </c>
      <c r="D20" s="10">
        <f t="shared" si="3"/>
        <v>0</v>
      </c>
      <c r="E20" s="273">
        <v>6</v>
      </c>
      <c r="F20" s="10">
        <f t="shared" si="4"/>
        <v>0</v>
      </c>
      <c r="G20" s="288">
        <v>0.02</v>
      </c>
      <c r="H20" s="10">
        <f t="shared" si="5"/>
        <v>0</v>
      </c>
    </row>
    <row r="21" spans="1:8">
      <c r="A21" s="531"/>
      <c r="B21" s="272"/>
      <c r="C21" s="287">
        <v>0</v>
      </c>
      <c r="D21" s="10">
        <f t="shared" si="3"/>
        <v>0</v>
      </c>
      <c r="E21" s="273"/>
      <c r="F21" s="10">
        <f t="shared" si="4"/>
        <v>0</v>
      </c>
      <c r="G21" s="288">
        <v>0</v>
      </c>
      <c r="H21" s="10">
        <f t="shared" si="5"/>
        <v>0</v>
      </c>
    </row>
    <row r="22" spans="1:8">
      <c r="A22" s="532"/>
      <c r="B22" s="272"/>
      <c r="C22" s="287">
        <v>0</v>
      </c>
      <c r="D22" s="10">
        <f t="shared" si="3"/>
        <v>0</v>
      </c>
      <c r="E22" s="273"/>
      <c r="F22" s="10">
        <f t="shared" si="4"/>
        <v>0</v>
      </c>
      <c r="G22" s="288">
        <v>0</v>
      </c>
      <c r="H22" s="10">
        <f t="shared" si="5"/>
        <v>0</v>
      </c>
    </row>
    <row r="23" spans="1:8">
      <c r="A23" s="318" t="s">
        <v>495</v>
      </c>
      <c r="B23" s="312">
        <v>0</v>
      </c>
      <c r="C23" s="313">
        <f>B9*B23</f>
        <v>0</v>
      </c>
      <c r="D23" s="10"/>
      <c r="E23" s="273"/>
      <c r="F23" s="10"/>
      <c r="G23" s="288"/>
      <c r="H23" s="10"/>
    </row>
    <row r="24" spans="1:8">
      <c r="A24" s="530" t="s">
        <v>390</v>
      </c>
      <c r="B24" s="272" t="s">
        <v>477</v>
      </c>
      <c r="C24" s="287">
        <v>0</v>
      </c>
      <c r="D24" s="10">
        <f>C$23*C24</f>
        <v>0</v>
      </c>
      <c r="E24" s="273">
        <v>10</v>
      </c>
      <c r="F24" s="10">
        <f t="shared" si="4"/>
        <v>0</v>
      </c>
      <c r="G24" s="288">
        <v>0.1</v>
      </c>
      <c r="H24" s="10">
        <f t="shared" si="5"/>
        <v>0</v>
      </c>
    </row>
    <row r="25" spans="1:8">
      <c r="A25" s="531"/>
      <c r="B25" s="272" t="s">
        <v>478</v>
      </c>
      <c r="C25" s="287">
        <v>0.1</v>
      </c>
      <c r="D25" s="10">
        <f>C$23*C25</f>
        <v>0</v>
      </c>
      <c r="E25" s="273">
        <v>10</v>
      </c>
      <c r="F25" s="10">
        <f t="shared" si="4"/>
        <v>0</v>
      </c>
      <c r="G25" s="288">
        <v>0.1</v>
      </c>
      <c r="H25" s="10">
        <f t="shared" si="5"/>
        <v>0</v>
      </c>
    </row>
    <row r="26" spans="1:8">
      <c r="A26" s="531"/>
      <c r="B26" s="272" t="s">
        <v>479</v>
      </c>
      <c r="C26" s="287">
        <v>0</v>
      </c>
      <c r="D26" s="10">
        <f>C$23*C26</f>
        <v>0</v>
      </c>
      <c r="E26" s="273">
        <v>10</v>
      </c>
      <c r="F26" s="10">
        <f t="shared" si="4"/>
        <v>0</v>
      </c>
      <c r="G26" s="288">
        <v>0.05</v>
      </c>
      <c r="H26" s="10">
        <f t="shared" si="5"/>
        <v>0</v>
      </c>
    </row>
    <row r="27" spans="1:8">
      <c r="A27" s="531"/>
      <c r="B27" s="272" t="s">
        <v>480</v>
      </c>
      <c r="C27" s="287">
        <v>0</v>
      </c>
      <c r="D27" s="10">
        <f t="shared" ref="D27:D31" si="6">C$23*C27</f>
        <v>0</v>
      </c>
      <c r="E27" s="273">
        <v>20</v>
      </c>
      <c r="F27" s="10">
        <f t="shared" si="4"/>
        <v>0</v>
      </c>
      <c r="G27" s="288">
        <v>0</v>
      </c>
      <c r="H27" s="10">
        <f t="shared" si="5"/>
        <v>0</v>
      </c>
    </row>
    <row r="28" spans="1:8">
      <c r="A28" s="531"/>
      <c r="B28" s="272" t="s">
        <v>481</v>
      </c>
      <c r="C28" s="287">
        <v>0</v>
      </c>
      <c r="D28" s="10">
        <f t="shared" si="6"/>
        <v>0</v>
      </c>
      <c r="E28" s="273"/>
      <c r="F28" s="10">
        <f t="shared" si="4"/>
        <v>0</v>
      </c>
      <c r="G28" s="288">
        <v>0</v>
      </c>
      <c r="H28" s="10">
        <f t="shared" si="5"/>
        <v>0</v>
      </c>
    </row>
    <row r="29" spans="1:8">
      <c r="A29" s="531"/>
      <c r="B29" s="272"/>
      <c r="C29" s="287">
        <v>0</v>
      </c>
      <c r="D29" s="10">
        <f t="shared" si="6"/>
        <v>0</v>
      </c>
      <c r="E29" s="273"/>
      <c r="F29" s="10">
        <f t="shared" si="4"/>
        <v>0</v>
      </c>
      <c r="G29" s="288">
        <v>0</v>
      </c>
      <c r="H29" s="10">
        <f t="shared" si="5"/>
        <v>0</v>
      </c>
    </row>
    <row r="30" spans="1:8">
      <c r="A30" s="531"/>
      <c r="B30" s="272"/>
      <c r="C30" s="287">
        <v>0</v>
      </c>
      <c r="D30" s="10">
        <f t="shared" si="6"/>
        <v>0</v>
      </c>
      <c r="E30" s="273"/>
      <c r="F30" s="10">
        <f t="shared" si="4"/>
        <v>0</v>
      </c>
      <c r="G30" s="288">
        <v>0</v>
      </c>
      <c r="H30" s="10">
        <f t="shared" si="5"/>
        <v>0</v>
      </c>
    </row>
    <row r="31" spans="1:8">
      <c r="A31" s="532"/>
      <c r="B31" s="272"/>
      <c r="C31" s="287">
        <v>0</v>
      </c>
      <c r="D31" s="10">
        <f t="shared" si="6"/>
        <v>0</v>
      </c>
      <c r="E31" s="273"/>
      <c r="F31" s="10">
        <f t="shared" si="4"/>
        <v>0</v>
      </c>
      <c r="G31" s="288">
        <v>0</v>
      </c>
      <c r="H31" s="10">
        <f t="shared" si="5"/>
        <v>0</v>
      </c>
    </row>
    <row r="32" spans="1:8">
      <c r="A32" s="318" t="s">
        <v>496</v>
      </c>
      <c r="B32" s="312">
        <v>0</v>
      </c>
      <c r="C32" s="272">
        <f>B9*B32</f>
        <v>0</v>
      </c>
      <c r="D32" s="10"/>
      <c r="E32" s="273"/>
      <c r="F32" s="10"/>
      <c r="G32" s="288"/>
      <c r="H32" s="10"/>
    </row>
    <row r="33" spans="1:8">
      <c r="A33" s="315" t="s">
        <v>453</v>
      </c>
      <c r="B33" s="272"/>
      <c r="C33" s="287">
        <v>0</v>
      </c>
      <c r="D33" s="10">
        <f>C$32*C33</f>
        <v>0</v>
      </c>
      <c r="E33" s="273"/>
      <c r="F33" s="10">
        <f t="shared" si="4"/>
        <v>0</v>
      </c>
      <c r="G33" s="288">
        <v>0</v>
      </c>
      <c r="H33" s="10">
        <f t="shared" si="5"/>
        <v>0</v>
      </c>
    </row>
    <row r="34" spans="1:8">
      <c r="A34" s="316"/>
      <c r="B34" s="272"/>
      <c r="C34" s="287">
        <v>0</v>
      </c>
      <c r="D34" s="10">
        <f>C$32*C34</f>
        <v>0</v>
      </c>
      <c r="E34" s="273"/>
      <c r="F34" s="10">
        <f t="shared" si="4"/>
        <v>0</v>
      </c>
      <c r="G34" s="288">
        <v>0</v>
      </c>
      <c r="H34" s="10">
        <f t="shared" si="5"/>
        <v>0</v>
      </c>
    </row>
    <row r="35" spans="1:8">
      <c r="A35" s="316"/>
      <c r="B35" s="272"/>
      <c r="C35" s="287">
        <v>0</v>
      </c>
      <c r="D35" s="10">
        <f>C$32*C35</f>
        <v>0</v>
      </c>
      <c r="E35" s="273"/>
      <c r="F35" s="10">
        <f t="shared" si="4"/>
        <v>0</v>
      </c>
      <c r="G35" s="288">
        <v>0</v>
      </c>
      <c r="H35" s="10">
        <f t="shared" si="5"/>
        <v>0</v>
      </c>
    </row>
    <row r="36" spans="1:8">
      <c r="A36" s="317"/>
      <c r="B36" s="272"/>
      <c r="C36" s="287">
        <v>0</v>
      </c>
      <c r="D36" s="10">
        <f>C$32*C36</f>
        <v>0</v>
      </c>
      <c r="E36" s="273"/>
      <c r="F36" s="10">
        <f t="shared" si="4"/>
        <v>0</v>
      </c>
      <c r="G36" s="288">
        <v>0</v>
      </c>
      <c r="H36" s="10">
        <f t="shared" si="5"/>
        <v>0</v>
      </c>
    </row>
    <row r="37" spans="1:8">
      <c r="A37" s="546" t="s">
        <v>497</v>
      </c>
      <c r="B37" s="272" t="s">
        <v>483</v>
      </c>
      <c r="C37" s="287">
        <v>0.5</v>
      </c>
      <c r="D37" s="10">
        <f t="shared" si="3"/>
        <v>0</v>
      </c>
      <c r="E37" s="273">
        <v>6</v>
      </c>
      <c r="F37" s="10">
        <f t="shared" si="4"/>
        <v>0</v>
      </c>
      <c r="G37" s="288">
        <v>0.05</v>
      </c>
      <c r="H37" s="10">
        <f t="shared" si="5"/>
        <v>0</v>
      </c>
    </row>
    <row r="38" spans="1:8">
      <c r="A38" s="546"/>
      <c r="B38" s="272" t="s">
        <v>484</v>
      </c>
      <c r="C38" s="287">
        <v>0</v>
      </c>
      <c r="D38" s="10">
        <f t="shared" si="3"/>
        <v>0</v>
      </c>
      <c r="E38" s="273"/>
      <c r="F38" s="10">
        <f t="shared" si="4"/>
        <v>0</v>
      </c>
      <c r="G38" s="288">
        <v>0</v>
      </c>
      <c r="H38" s="10">
        <f t="shared" si="5"/>
        <v>0</v>
      </c>
    </row>
    <row r="39" spans="1:8">
      <c r="A39" s="546"/>
      <c r="B39" s="272" t="s">
        <v>485</v>
      </c>
      <c r="C39" s="287">
        <v>0</v>
      </c>
      <c r="D39" s="10">
        <f t="shared" si="3"/>
        <v>0</v>
      </c>
      <c r="E39" s="273"/>
      <c r="F39" s="10">
        <f t="shared" si="4"/>
        <v>0</v>
      </c>
      <c r="G39" s="288">
        <v>0</v>
      </c>
      <c r="H39" s="10">
        <f t="shared" si="5"/>
        <v>0</v>
      </c>
    </row>
    <row r="40" spans="1:8">
      <c r="A40" s="546"/>
      <c r="B40" s="272" t="s">
        <v>486</v>
      </c>
      <c r="C40" s="287">
        <v>0</v>
      </c>
      <c r="D40" s="10">
        <f t="shared" si="3"/>
        <v>0</v>
      </c>
      <c r="E40" s="273"/>
      <c r="F40" s="10">
        <f t="shared" si="4"/>
        <v>0</v>
      </c>
      <c r="G40" s="288">
        <v>0</v>
      </c>
      <c r="H40" s="10">
        <f t="shared" si="5"/>
        <v>0</v>
      </c>
    </row>
    <row r="41" spans="1:8">
      <c r="A41" s="529" t="s">
        <v>394</v>
      </c>
      <c r="B41" s="529"/>
      <c r="C41" s="529"/>
      <c r="D41" s="529"/>
      <c r="E41" s="529"/>
      <c r="F41" s="529"/>
      <c r="G41" s="529"/>
      <c r="H41" s="529"/>
    </row>
    <row r="43" spans="1:8" ht="17.5">
      <c r="A43" s="533" t="s">
        <v>573</v>
      </c>
      <c r="B43" s="534"/>
      <c r="C43" s="534"/>
      <c r="D43" s="534"/>
      <c r="E43" s="534"/>
      <c r="F43" s="534"/>
      <c r="G43" s="534"/>
      <c r="H43" s="535"/>
    </row>
    <row r="44" spans="1:8">
      <c r="A44" s="536" t="s">
        <v>0</v>
      </c>
      <c r="B44" s="303">
        <v>0.35</v>
      </c>
      <c r="C44" s="303">
        <f>B44+0.05</f>
        <v>0.39999999999999997</v>
      </c>
      <c r="D44" s="303">
        <f t="shared" ref="D44:G44" si="7">C44+0.05</f>
        <v>0.44999999999999996</v>
      </c>
      <c r="E44" s="303">
        <f t="shared" si="7"/>
        <v>0.49999999999999994</v>
      </c>
      <c r="F44" s="303">
        <f t="shared" si="7"/>
        <v>0.54999999999999993</v>
      </c>
      <c r="G44" s="303">
        <f t="shared" si="7"/>
        <v>0.6</v>
      </c>
      <c r="H44" s="303">
        <f>G44+0.05</f>
        <v>0.65</v>
      </c>
    </row>
    <row r="45" spans="1:8">
      <c r="A45" s="537"/>
      <c r="B45" s="294" t="s">
        <v>2</v>
      </c>
      <c r="C45" s="294" t="s">
        <v>3</v>
      </c>
      <c r="D45" s="294" t="s">
        <v>4</v>
      </c>
      <c r="E45" s="294" t="s">
        <v>5</v>
      </c>
      <c r="F45" s="294" t="s">
        <v>6</v>
      </c>
      <c r="G45" s="294" t="s">
        <v>169</v>
      </c>
      <c r="H45" s="294" t="s">
        <v>168</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281">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7.5">
      <c r="A71" s="538" t="s">
        <v>574</v>
      </c>
      <c r="B71" s="539"/>
      <c r="C71" s="539"/>
      <c r="D71" s="539"/>
      <c r="E71" s="539"/>
      <c r="F71" s="539"/>
      <c r="G71" s="539"/>
      <c r="H71" s="540"/>
    </row>
    <row r="72" spans="1:8">
      <c r="A72" s="541" t="s">
        <v>0</v>
      </c>
      <c r="B72" s="304">
        <v>0.05</v>
      </c>
      <c r="C72" s="304">
        <f>B72+0.05</f>
        <v>0.1</v>
      </c>
      <c r="D72" s="304">
        <f t="shared" ref="D72:G72" si="26">C72+0.05</f>
        <v>0.15000000000000002</v>
      </c>
      <c r="E72" s="304">
        <f t="shared" si="26"/>
        <v>0.2</v>
      </c>
      <c r="F72" s="304">
        <f t="shared" si="26"/>
        <v>0.25</v>
      </c>
      <c r="G72" s="304">
        <f t="shared" si="26"/>
        <v>0.3</v>
      </c>
      <c r="H72" s="304">
        <f>G72+0.05</f>
        <v>0.35</v>
      </c>
    </row>
    <row r="73" spans="1:8">
      <c r="A73" s="542"/>
      <c r="B73" s="294" t="s">
        <v>2</v>
      </c>
      <c r="C73" s="294" t="s">
        <v>3</v>
      </c>
      <c r="D73" s="294" t="s">
        <v>4</v>
      </c>
      <c r="E73" s="294" t="s">
        <v>5</v>
      </c>
      <c r="F73" s="294" t="s">
        <v>6</v>
      </c>
      <c r="G73" s="294" t="s">
        <v>169</v>
      </c>
      <c r="H73" s="294" t="s">
        <v>168</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f>
        <v>0</v>
      </c>
      <c r="C79" s="10">
        <f t="shared" si="32"/>
        <v>0</v>
      </c>
      <c r="D79" s="10">
        <f t="shared" si="32"/>
        <v>0</v>
      </c>
      <c r="E79" s="10">
        <f t="shared" si="32"/>
        <v>0</v>
      </c>
      <c r="F79" s="10">
        <f t="shared" si="32"/>
        <v>0</v>
      </c>
      <c r="G79" s="10">
        <f t="shared" si="32"/>
        <v>0</v>
      </c>
      <c r="H79" s="10">
        <f t="shared" si="32"/>
        <v>0</v>
      </c>
    </row>
    <row r="80" spans="1:8">
      <c r="A80" s="10">
        <f t="shared" si="27"/>
        <v>0</v>
      </c>
      <c r="B80" s="10">
        <f>H20*$B$72</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82"/>
    </row>
    <row r="99" spans="1:9" ht="17.5">
      <c r="A99" s="538" t="s">
        <v>575</v>
      </c>
      <c r="B99" s="539"/>
      <c r="C99" s="539"/>
      <c r="D99" s="539"/>
      <c r="E99" s="539"/>
      <c r="F99" s="539"/>
      <c r="G99" s="539"/>
      <c r="H99" s="540"/>
    </row>
    <row r="100" spans="1:9">
      <c r="A100" s="527" t="s">
        <v>0</v>
      </c>
      <c r="B100" s="328">
        <v>0.65</v>
      </c>
      <c r="C100" s="329">
        <f>B100+0.05</f>
        <v>0.70000000000000007</v>
      </c>
      <c r="D100" s="329">
        <f t="shared" ref="D100:G100" si="45">C100+0.05</f>
        <v>0.75000000000000011</v>
      </c>
      <c r="E100" s="329">
        <f t="shared" si="45"/>
        <v>0.80000000000000016</v>
      </c>
      <c r="F100" s="329">
        <f t="shared" si="45"/>
        <v>0.8500000000000002</v>
      </c>
      <c r="G100" s="329">
        <f t="shared" si="45"/>
        <v>0.90000000000000024</v>
      </c>
      <c r="H100" s="329">
        <f>G100+0.05</f>
        <v>0.95000000000000029</v>
      </c>
    </row>
    <row r="101" spans="1:9">
      <c r="A101" s="528"/>
      <c r="B101" s="294" t="s">
        <v>2</v>
      </c>
      <c r="C101" s="294" t="s">
        <v>3</v>
      </c>
      <c r="D101" s="294" t="s">
        <v>4</v>
      </c>
      <c r="E101" s="294" t="s">
        <v>5</v>
      </c>
      <c r="F101" s="294" t="s">
        <v>6</v>
      </c>
      <c r="G101" s="294" t="s">
        <v>169</v>
      </c>
      <c r="H101" s="294" t="s">
        <v>168</v>
      </c>
    </row>
    <row r="102" spans="1:9" s="13" customFormat="1">
      <c r="A102" s="10" t="str">
        <f t="shared" ref="A102:A126" si="46">A74</f>
        <v>Onion</v>
      </c>
      <c r="B102" s="10">
        <f t="shared" ref="B102:B110" si="47">D14*$B$100</f>
        <v>0</v>
      </c>
      <c r="C102" s="291">
        <f t="shared" ref="C102:H117" si="48">(B102/B$100)*C$100</f>
        <v>0</v>
      </c>
      <c r="D102" s="291">
        <f t="shared" si="48"/>
        <v>0</v>
      </c>
      <c r="E102" s="291">
        <f t="shared" si="48"/>
        <v>0</v>
      </c>
      <c r="F102" s="291">
        <f t="shared" si="48"/>
        <v>0</v>
      </c>
      <c r="G102" s="291">
        <f t="shared" si="48"/>
        <v>0</v>
      </c>
      <c r="H102" s="291">
        <f t="shared" si="48"/>
        <v>0</v>
      </c>
    </row>
    <row r="103" spans="1:9">
      <c r="A103" s="10" t="str">
        <f t="shared" si="46"/>
        <v>Tomato</v>
      </c>
      <c r="B103" s="10">
        <f t="shared" si="47"/>
        <v>0</v>
      </c>
      <c r="C103" s="291">
        <f t="shared" si="48"/>
        <v>0</v>
      </c>
      <c r="D103" s="291">
        <f>(C103/C100)*D100</f>
        <v>0</v>
      </c>
      <c r="E103" s="291">
        <f t="shared" ref="E103:G103" si="49">(D103/D100)*E100</f>
        <v>0</v>
      </c>
      <c r="F103" s="291">
        <f t="shared" si="49"/>
        <v>0</v>
      </c>
      <c r="G103" s="291">
        <f t="shared" si="49"/>
        <v>0</v>
      </c>
      <c r="H103" s="291">
        <f>(G103/G100)*H100</f>
        <v>0</v>
      </c>
    </row>
    <row r="104" spans="1:9">
      <c r="A104" s="10" t="str">
        <f t="shared" si="46"/>
        <v>Okra</v>
      </c>
      <c r="B104" s="10">
        <f t="shared" si="47"/>
        <v>0</v>
      </c>
      <c r="C104" s="291">
        <f t="shared" si="48"/>
        <v>0</v>
      </c>
      <c r="D104" s="291">
        <f t="shared" si="48"/>
        <v>0</v>
      </c>
      <c r="E104" s="291">
        <f t="shared" si="48"/>
        <v>0</v>
      </c>
      <c r="F104" s="291">
        <f t="shared" si="48"/>
        <v>0</v>
      </c>
      <c r="G104" s="291">
        <f t="shared" si="48"/>
        <v>0</v>
      </c>
      <c r="H104" s="291">
        <f t="shared" si="48"/>
        <v>0</v>
      </c>
    </row>
    <row r="105" spans="1:9">
      <c r="A105" s="10" t="str">
        <f t="shared" si="46"/>
        <v>Chilli</v>
      </c>
      <c r="B105" s="10">
        <f t="shared" si="47"/>
        <v>0</v>
      </c>
      <c r="C105" s="291">
        <f t="shared" si="48"/>
        <v>0</v>
      </c>
      <c r="D105" s="291">
        <f t="shared" si="48"/>
        <v>0</v>
      </c>
      <c r="E105" s="291">
        <f t="shared" si="48"/>
        <v>0</v>
      </c>
      <c r="F105" s="291">
        <f t="shared" si="48"/>
        <v>0</v>
      </c>
      <c r="G105" s="291">
        <f t="shared" si="48"/>
        <v>0</v>
      </c>
      <c r="H105" s="291">
        <f t="shared" si="48"/>
        <v>0</v>
      </c>
    </row>
    <row r="106" spans="1:9">
      <c r="A106" s="10" t="str">
        <f t="shared" si="46"/>
        <v>Potato</v>
      </c>
      <c r="B106" s="291">
        <f t="shared" si="47"/>
        <v>0</v>
      </c>
      <c r="C106" s="291">
        <f t="shared" si="48"/>
        <v>0</v>
      </c>
      <c r="D106" s="291">
        <f t="shared" si="48"/>
        <v>0</v>
      </c>
      <c r="E106" s="291">
        <f t="shared" si="48"/>
        <v>0</v>
      </c>
      <c r="F106" s="291">
        <f t="shared" si="48"/>
        <v>0</v>
      </c>
      <c r="G106" s="291">
        <f t="shared" si="48"/>
        <v>0</v>
      </c>
      <c r="H106" s="291">
        <f t="shared" si="48"/>
        <v>0</v>
      </c>
    </row>
    <row r="107" spans="1:9">
      <c r="A107" s="10">
        <f t="shared" si="46"/>
        <v>0</v>
      </c>
      <c r="B107" s="10">
        <f t="shared" si="47"/>
        <v>0</v>
      </c>
      <c r="C107" s="291">
        <f t="shared" si="48"/>
        <v>0</v>
      </c>
      <c r="D107" s="291">
        <f t="shared" si="48"/>
        <v>0</v>
      </c>
      <c r="E107" s="291">
        <f t="shared" si="48"/>
        <v>0</v>
      </c>
      <c r="F107" s="291">
        <f t="shared" si="48"/>
        <v>0</v>
      </c>
      <c r="G107" s="291">
        <f t="shared" si="48"/>
        <v>0</v>
      </c>
      <c r="H107" s="291">
        <f t="shared" si="48"/>
        <v>0</v>
      </c>
    </row>
    <row r="108" spans="1:9">
      <c r="A108" s="10">
        <f t="shared" si="46"/>
        <v>0</v>
      </c>
      <c r="B108" s="10">
        <f t="shared" si="47"/>
        <v>0</v>
      </c>
      <c r="C108" s="291">
        <f t="shared" si="48"/>
        <v>0</v>
      </c>
      <c r="D108" s="291">
        <f t="shared" si="48"/>
        <v>0</v>
      </c>
      <c r="E108" s="291">
        <f t="shared" si="48"/>
        <v>0</v>
      </c>
      <c r="F108" s="291">
        <f t="shared" si="48"/>
        <v>0</v>
      </c>
      <c r="G108" s="291">
        <f t="shared" si="48"/>
        <v>0</v>
      </c>
      <c r="H108" s="291">
        <f t="shared" si="48"/>
        <v>0</v>
      </c>
    </row>
    <row r="109" spans="1:9">
      <c r="A109" s="10">
        <f t="shared" si="46"/>
        <v>0</v>
      </c>
      <c r="B109" s="10">
        <f t="shared" si="47"/>
        <v>0</v>
      </c>
      <c r="C109" s="291">
        <f t="shared" si="48"/>
        <v>0</v>
      </c>
      <c r="D109" s="291">
        <f t="shared" si="48"/>
        <v>0</v>
      </c>
      <c r="E109" s="291">
        <f t="shared" si="48"/>
        <v>0</v>
      </c>
      <c r="F109" s="291">
        <f t="shared" si="48"/>
        <v>0</v>
      </c>
      <c r="G109" s="291">
        <f t="shared" si="48"/>
        <v>0</v>
      </c>
      <c r="H109" s="291">
        <f t="shared" si="48"/>
        <v>0</v>
      </c>
    </row>
    <row r="110" spans="1:9">
      <c r="A110" s="10">
        <f t="shared" si="46"/>
        <v>0</v>
      </c>
      <c r="B110" s="10">
        <f t="shared" si="47"/>
        <v>0</v>
      </c>
      <c r="C110" s="291">
        <f t="shared" si="48"/>
        <v>0</v>
      </c>
      <c r="D110" s="291">
        <f t="shared" si="48"/>
        <v>0</v>
      </c>
      <c r="E110" s="291">
        <f t="shared" si="48"/>
        <v>0</v>
      </c>
      <c r="F110" s="291">
        <f t="shared" si="48"/>
        <v>0</v>
      </c>
      <c r="G110" s="291">
        <f t="shared" si="48"/>
        <v>0</v>
      </c>
      <c r="H110" s="291">
        <f t="shared" si="48"/>
        <v>0</v>
      </c>
    </row>
    <row r="111" spans="1:9">
      <c r="A111" s="10" t="str">
        <f t="shared" si="46"/>
        <v>Onion</v>
      </c>
      <c r="B111" s="10">
        <f t="shared" ref="B111:B118" si="50">D24*$B$100</f>
        <v>0</v>
      </c>
      <c r="C111" s="291">
        <f t="shared" si="48"/>
        <v>0</v>
      </c>
      <c r="D111" s="291">
        <f t="shared" si="48"/>
        <v>0</v>
      </c>
      <c r="E111" s="291">
        <f t="shared" si="48"/>
        <v>0</v>
      </c>
      <c r="F111" s="291">
        <f t="shared" si="48"/>
        <v>0</v>
      </c>
      <c r="G111" s="291">
        <f t="shared" si="48"/>
        <v>0</v>
      </c>
      <c r="H111" s="291">
        <f t="shared" si="48"/>
        <v>0</v>
      </c>
    </row>
    <row r="112" spans="1:9">
      <c r="A112" s="10" t="str">
        <f t="shared" si="46"/>
        <v>Tomato</v>
      </c>
      <c r="B112" s="10">
        <f t="shared" si="50"/>
        <v>0</v>
      </c>
      <c r="C112" s="291">
        <f t="shared" si="48"/>
        <v>0</v>
      </c>
      <c r="D112" s="291">
        <f t="shared" si="48"/>
        <v>0</v>
      </c>
      <c r="E112" s="291">
        <f t="shared" si="48"/>
        <v>0</v>
      </c>
      <c r="F112" s="291">
        <f t="shared" si="48"/>
        <v>0</v>
      </c>
      <c r="G112" s="291">
        <f t="shared" si="48"/>
        <v>0</v>
      </c>
      <c r="H112" s="291">
        <f t="shared" si="48"/>
        <v>0</v>
      </c>
    </row>
    <row r="113" spans="1:9">
      <c r="A113" s="10" t="str">
        <f t="shared" si="46"/>
        <v>Okra</v>
      </c>
      <c r="B113" s="10">
        <f t="shared" si="50"/>
        <v>0</v>
      </c>
      <c r="C113" s="291">
        <f t="shared" si="48"/>
        <v>0</v>
      </c>
      <c r="D113" s="291">
        <f t="shared" si="48"/>
        <v>0</v>
      </c>
      <c r="E113" s="291">
        <f t="shared" si="48"/>
        <v>0</v>
      </c>
      <c r="F113" s="291">
        <f t="shared" si="48"/>
        <v>0</v>
      </c>
      <c r="G113" s="291">
        <f t="shared" si="48"/>
        <v>0</v>
      </c>
      <c r="H113" s="291">
        <f t="shared" si="48"/>
        <v>0</v>
      </c>
    </row>
    <row r="114" spans="1:9">
      <c r="A114" s="10" t="str">
        <f t="shared" si="46"/>
        <v>Chilli</v>
      </c>
      <c r="B114" s="10">
        <f t="shared" si="50"/>
        <v>0</v>
      </c>
      <c r="C114" s="291">
        <f t="shared" si="48"/>
        <v>0</v>
      </c>
      <c r="D114" s="291">
        <f t="shared" si="48"/>
        <v>0</v>
      </c>
      <c r="E114" s="291">
        <f t="shared" si="48"/>
        <v>0</v>
      </c>
      <c r="F114" s="291">
        <f t="shared" si="48"/>
        <v>0</v>
      </c>
      <c r="G114" s="291">
        <f t="shared" si="48"/>
        <v>0</v>
      </c>
      <c r="H114" s="291">
        <f t="shared" si="48"/>
        <v>0</v>
      </c>
    </row>
    <row r="115" spans="1:9">
      <c r="A115" s="10" t="str">
        <f t="shared" si="46"/>
        <v>Brinjal</v>
      </c>
      <c r="B115" s="10">
        <f t="shared" si="50"/>
        <v>0</v>
      </c>
      <c r="C115" s="291">
        <f t="shared" si="48"/>
        <v>0</v>
      </c>
      <c r="D115" s="291">
        <f t="shared" si="48"/>
        <v>0</v>
      </c>
      <c r="E115" s="291">
        <f t="shared" si="48"/>
        <v>0</v>
      </c>
      <c r="F115" s="291">
        <f t="shared" si="48"/>
        <v>0</v>
      </c>
      <c r="G115" s="291">
        <f t="shared" si="48"/>
        <v>0</v>
      </c>
      <c r="H115" s="291">
        <f t="shared" si="48"/>
        <v>0</v>
      </c>
    </row>
    <row r="116" spans="1:9">
      <c r="A116" s="10">
        <f t="shared" si="46"/>
        <v>0</v>
      </c>
      <c r="B116" s="10">
        <f t="shared" si="50"/>
        <v>0</v>
      </c>
      <c r="C116" s="291">
        <f t="shared" si="48"/>
        <v>0</v>
      </c>
      <c r="D116" s="291">
        <f t="shared" si="48"/>
        <v>0</v>
      </c>
      <c r="E116" s="291">
        <f t="shared" si="48"/>
        <v>0</v>
      </c>
      <c r="F116" s="291">
        <f t="shared" si="48"/>
        <v>0</v>
      </c>
      <c r="G116" s="291">
        <f t="shared" si="48"/>
        <v>0</v>
      </c>
      <c r="H116" s="291">
        <f t="shared" si="48"/>
        <v>0</v>
      </c>
    </row>
    <row r="117" spans="1:9">
      <c r="A117" s="10">
        <f t="shared" si="46"/>
        <v>0</v>
      </c>
      <c r="B117" s="10">
        <f t="shared" si="50"/>
        <v>0</v>
      </c>
      <c r="C117" s="291">
        <f t="shared" si="48"/>
        <v>0</v>
      </c>
      <c r="D117" s="291">
        <f t="shared" si="48"/>
        <v>0</v>
      </c>
      <c r="E117" s="291">
        <f t="shared" si="48"/>
        <v>0</v>
      </c>
      <c r="F117" s="291">
        <f t="shared" si="48"/>
        <v>0</v>
      </c>
      <c r="G117" s="291">
        <f t="shared" si="48"/>
        <v>0</v>
      </c>
      <c r="H117" s="291">
        <f t="shared" si="48"/>
        <v>0</v>
      </c>
    </row>
    <row r="118" spans="1:9">
      <c r="A118" s="10">
        <f t="shared" si="46"/>
        <v>0</v>
      </c>
      <c r="B118" s="10">
        <f t="shared" si="50"/>
        <v>0</v>
      </c>
      <c r="C118" s="291">
        <f t="shared" ref="C118:H126" si="51">(B118/B$100)*C$100</f>
        <v>0</v>
      </c>
      <c r="D118" s="291">
        <f t="shared" si="51"/>
        <v>0</v>
      </c>
      <c r="E118" s="291">
        <f t="shared" si="51"/>
        <v>0</v>
      </c>
      <c r="F118" s="291">
        <f t="shared" si="51"/>
        <v>0</v>
      </c>
      <c r="G118" s="291">
        <f t="shared" si="51"/>
        <v>0</v>
      </c>
      <c r="H118" s="291">
        <f t="shared" si="51"/>
        <v>0</v>
      </c>
    </row>
    <row r="119" spans="1:9">
      <c r="A119" s="10">
        <f t="shared" si="46"/>
        <v>0</v>
      </c>
      <c r="B119" s="10">
        <f t="shared" ref="B119:B126" si="52">D33*$B$100</f>
        <v>0</v>
      </c>
      <c r="C119" s="291">
        <f t="shared" si="51"/>
        <v>0</v>
      </c>
      <c r="D119" s="291">
        <f t="shared" si="51"/>
        <v>0</v>
      </c>
      <c r="E119" s="291">
        <f t="shared" si="51"/>
        <v>0</v>
      </c>
      <c r="F119" s="291">
        <f t="shared" si="51"/>
        <v>0</v>
      </c>
      <c r="G119" s="291">
        <f t="shared" si="51"/>
        <v>0</v>
      </c>
      <c r="H119" s="291">
        <f t="shared" si="51"/>
        <v>0</v>
      </c>
    </row>
    <row r="120" spans="1:9">
      <c r="A120" s="10">
        <f t="shared" si="46"/>
        <v>0</v>
      </c>
      <c r="B120" s="10">
        <f t="shared" si="52"/>
        <v>0</v>
      </c>
      <c r="C120" s="291">
        <f t="shared" si="51"/>
        <v>0</v>
      </c>
      <c r="D120" s="291">
        <f t="shared" ref="D120:D122" si="53">(C120/C$100)*D$100</f>
        <v>0</v>
      </c>
      <c r="E120" s="291">
        <f t="shared" ref="E120:E122" si="54">(D120/D$100)*E$100</f>
        <v>0</v>
      </c>
      <c r="F120" s="291">
        <f t="shared" ref="F120:F122" si="55">(E120/E$100)*F$100</f>
        <v>0</v>
      </c>
      <c r="G120" s="291">
        <f t="shared" ref="G120:G122" si="56">(F120/F$100)*G$100</f>
        <v>0</v>
      </c>
      <c r="H120" s="291">
        <f t="shared" si="51"/>
        <v>0</v>
      </c>
    </row>
    <row r="121" spans="1:9">
      <c r="A121" s="10">
        <f t="shared" si="46"/>
        <v>0</v>
      </c>
      <c r="B121" s="10">
        <f t="shared" si="52"/>
        <v>0</v>
      </c>
      <c r="C121" s="291">
        <f t="shared" si="51"/>
        <v>0</v>
      </c>
      <c r="D121" s="291">
        <f t="shared" si="53"/>
        <v>0</v>
      </c>
      <c r="E121" s="291">
        <f t="shared" si="54"/>
        <v>0</v>
      </c>
      <c r="F121" s="291">
        <f t="shared" si="55"/>
        <v>0</v>
      </c>
      <c r="G121" s="291">
        <f t="shared" si="56"/>
        <v>0</v>
      </c>
      <c r="H121" s="291">
        <f t="shared" si="51"/>
        <v>0</v>
      </c>
    </row>
    <row r="122" spans="1:9">
      <c r="A122" s="10">
        <f t="shared" si="46"/>
        <v>0</v>
      </c>
      <c r="B122" s="10">
        <f t="shared" si="52"/>
        <v>0</v>
      </c>
      <c r="C122" s="291">
        <f t="shared" si="51"/>
        <v>0</v>
      </c>
      <c r="D122" s="291">
        <f t="shared" si="53"/>
        <v>0</v>
      </c>
      <c r="E122" s="291">
        <f t="shared" si="54"/>
        <v>0</v>
      </c>
      <c r="F122" s="291">
        <f t="shared" si="55"/>
        <v>0</v>
      </c>
      <c r="G122" s="291">
        <f t="shared" si="56"/>
        <v>0</v>
      </c>
      <c r="H122" s="291">
        <f t="shared" si="51"/>
        <v>0</v>
      </c>
    </row>
    <row r="123" spans="1:9">
      <c r="A123" s="10" t="str">
        <f t="shared" si="46"/>
        <v>Pomegranate</v>
      </c>
      <c r="B123" s="10">
        <f t="shared" si="52"/>
        <v>0</v>
      </c>
      <c r="C123" s="291">
        <f t="shared" si="51"/>
        <v>0</v>
      </c>
      <c r="D123" s="291">
        <f t="shared" si="51"/>
        <v>0</v>
      </c>
      <c r="E123" s="291">
        <f t="shared" si="51"/>
        <v>0</v>
      </c>
      <c r="F123" s="291">
        <f t="shared" si="51"/>
        <v>0</v>
      </c>
      <c r="G123" s="291">
        <f t="shared" si="51"/>
        <v>0</v>
      </c>
      <c r="H123" s="291">
        <f t="shared" si="51"/>
        <v>0</v>
      </c>
    </row>
    <row r="124" spans="1:9">
      <c r="A124" s="10" t="str">
        <f t="shared" si="46"/>
        <v>Custard Apple</v>
      </c>
      <c r="B124" s="10">
        <f t="shared" si="52"/>
        <v>0</v>
      </c>
      <c r="C124" s="291">
        <f t="shared" si="51"/>
        <v>0</v>
      </c>
      <c r="D124" s="291">
        <f t="shared" ref="D124" si="57">(C124/C$100)*D$100</f>
        <v>0</v>
      </c>
      <c r="E124" s="291">
        <f t="shared" ref="E124" si="58">(D124/D$100)*E$100</f>
        <v>0</v>
      </c>
      <c r="F124" s="291">
        <f t="shared" ref="F124" si="59">(E124/E$100)*F$100</f>
        <v>0</v>
      </c>
      <c r="G124" s="291">
        <f t="shared" ref="G124" si="60">(F124/F$100)*G$100</f>
        <v>0</v>
      </c>
      <c r="H124" s="291">
        <f t="shared" si="51"/>
        <v>0</v>
      </c>
    </row>
    <row r="125" spans="1:9">
      <c r="A125" s="10" t="str">
        <f t="shared" si="46"/>
        <v>Guava</v>
      </c>
      <c r="B125" s="10">
        <f t="shared" si="52"/>
        <v>0</v>
      </c>
      <c r="C125" s="291">
        <f t="shared" si="51"/>
        <v>0</v>
      </c>
      <c r="D125" s="291">
        <f t="shared" si="51"/>
        <v>0</v>
      </c>
      <c r="E125" s="291">
        <f t="shared" si="51"/>
        <v>0</v>
      </c>
      <c r="F125" s="291">
        <f t="shared" si="51"/>
        <v>0</v>
      </c>
      <c r="G125" s="291">
        <f t="shared" si="51"/>
        <v>0</v>
      </c>
      <c r="H125" s="291">
        <f t="shared" si="51"/>
        <v>0</v>
      </c>
    </row>
    <row r="126" spans="1:9">
      <c r="A126" s="10" t="str">
        <f t="shared" si="46"/>
        <v>Citrus</v>
      </c>
      <c r="B126" s="10">
        <f t="shared" si="52"/>
        <v>0</v>
      </c>
      <c r="C126" s="291">
        <f t="shared" si="51"/>
        <v>0</v>
      </c>
      <c r="D126" s="291">
        <f t="shared" si="51"/>
        <v>0</v>
      </c>
      <c r="E126" s="291">
        <f t="shared" si="51"/>
        <v>0</v>
      </c>
      <c r="F126" s="291">
        <f t="shared" si="51"/>
        <v>0</v>
      </c>
      <c r="G126" s="291">
        <f t="shared" si="51"/>
        <v>0</v>
      </c>
      <c r="H126" s="291">
        <f t="shared" si="51"/>
        <v>0</v>
      </c>
    </row>
    <row r="128" spans="1:9">
      <c r="C128" s="4"/>
      <c r="D128" s="6"/>
      <c r="E128" s="6"/>
      <c r="F128" s="6"/>
      <c r="G128" s="6"/>
      <c r="H128" s="6"/>
      <c r="I128" s="6"/>
    </row>
    <row r="129" spans="1:9">
      <c r="A129" t="s">
        <v>539</v>
      </c>
      <c r="C129" s="301"/>
      <c r="D129" s="301"/>
      <c r="E129" s="301"/>
      <c r="F129" s="301"/>
      <c r="G129" s="301"/>
      <c r="H129" s="301"/>
      <c r="I129" s="301"/>
    </row>
    <row r="130" spans="1:9">
      <c r="A130">
        <v>1</v>
      </c>
      <c r="B130" t="s">
        <v>540</v>
      </c>
    </row>
    <row r="131" spans="1:9">
      <c r="A131">
        <v>2</v>
      </c>
      <c r="B131" t="s">
        <v>541</v>
      </c>
    </row>
    <row r="132" spans="1:9">
      <c r="A132">
        <v>3</v>
      </c>
      <c r="B132" t="s">
        <v>542</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54" orientation="portrait" r:id="rId1"/>
  <colBreaks count="1" manualBreakCount="1">
    <brk id="8" max="126"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221"/>
  <sheetViews>
    <sheetView view="pageBreakPreview" topLeftCell="A216" zoomScaleSheetLayoutView="100" workbookViewId="0">
      <selection activeCell="C233" sqref="C233"/>
    </sheetView>
  </sheetViews>
  <sheetFormatPr defaultRowHeight="14.5"/>
  <cols>
    <col min="1" max="1" width="42.453125" bestFit="1" customWidth="1"/>
    <col min="2" max="2" width="23.453125" customWidth="1"/>
    <col min="3" max="3" width="11.81640625" customWidth="1"/>
    <col min="4" max="5" width="15.81640625" bestFit="1" customWidth="1"/>
    <col min="6" max="6" width="18.1796875" bestFit="1" customWidth="1"/>
    <col min="7" max="10" width="15.81640625" bestFit="1" customWidth="1"/>
    <col min="11" max="11" width="10.54296875" bestFit="1" customWidth="1"/>
    <col min="13" max="13" width="22.81640625" bestFit="1" customWidth="1"/>
    <col min="14" max="14" width="12.81640625" bestFit="1" customWidth="1"/>
  </cols>
  <sheetData>
    <row r="2" spans="1:8" ht="17.5">
      <c r="A2" s="473" t="s">
        <v>576</v>
      </c>
      <c r="B2" s="473"/>
      <c r="C2" s="473"/>
      <c r="D2" s="473"/>
      <c r="E2" s="473"/>
      <c r="F2" s="473"/>
      <c r="G2" s="473"/>
      <c r="H2" s="473"/>
    </row>
    <row r="3" spans="1:8" ht="17.5">
      <c r="A3" s="473" t="s">
        <v>577</v>
      </c>
      <c r="B3" s="473"/>
      <c r="C3" s="473"/>
      <c r="D3" s="473"/>
      <c r="E3" s="473"/>
      <c r="F3" s="473"/>
      <c r="G3" s="473"/>
      <c r="H3" s="473"/>
    </row>
    <row r="4" spans="1:8">
      <c r="B4" s="90"/>
      <c r="C4" s="90"/>
      <c r="D4" s="90"/>
      <c r="E4" s="90"/>
      <c r="F4" s="472" t="s">
        <v>465</v>
      </c>
      <c r="G4" s="472"/>
      <c r="H4" s="472"/>
    </row>
    <row r="5" spans="1:8">
      <c r="A5" s="90" t="s">
        <v>161</v>
      </c>
      <c r="B5" s="237">
        <v>30</v>
      </c>
      <c r="C5" s="90" t="s">
        <v>443</v>
      </c>
      <c r="D5" s="90"/>
      <c r="E5" s="90"/>
      <c r="F5" s="276" t="s">
        <v>466</v>
      </c>
      <c r="G5" s="276" t="s">
        <v>467</v>
      </c>
      <c r="H5" s="90"/>
    </row>
    <row r="6" spans="1:8">
      <c r="A6" s="90" t="s">
        <v>162</v>
      </c>
      <c r="B6" s="451">
        <v>7.5</v>
      </c>
      <c r="C6" s="90"/>
      <c r="D6" s="90"/>
      <c r="E6" s="90"/>
      <c r="F6" s="10" t="s">
        <v>463</v>
      </c>
      <c r="G6" s="309">
        <v>0.02</v>
      </c>
      <c r="H6" s="90"/>
    </row>
    <row r="7" spans="1:8">
      <c r="A7" s="90"/>
      <c r="B7" s="90"/>
      <c r="C7" s="90"/>
      <c r="D7" s="90"/>
      <c r="E7" s="90"/>
      <c r="F7" s="10" t="s">
        <v>464</v>
      </c>
      <c r="G7" s="309">
        <v>0.05</v>
      </c>
      <c r="H7" s="90"/>
    </row>
    <row r="8" spans="1:8">
      <c r="A8" s="90" t="s">
        <v>513</v>
      </c>
      <c r="B8" s="452">
        <f>AVERAGE(B10:H10)</f>
        <v>263.87777777777779</v>
      </c>
      <c r="C8" s="90"/>
      <c r="D8" s="90"/>
      <c r="E8" s="90"/>
      <c r="F8" s="10"/>
      <c r="G8" s="309"/>
      <c r="H8" s="90"/>
    </row>
    <row r="9" spans="1:8">
      <c r="A9" s="144" t="s">
        <v>0</v>
      </c>
      <c r="B9" s="116" t="s">
        <v>2</v>
      </c>
      <c r="C9" s="116" t="s">
        <v>3</v>
      </c>
      <c r="D9" s="116" t="s">
        <v>4</v>
      </c>
      <c r="E9" s="116" t="s">
        <v>5</v>
      </c>
      <c r="F9" s="116" t="s">
        <v>6</v>
      </c>
      <c r="G9" s="116" t="s">
        <v>169</v>
      </c>
      <c r="H9" s="116" t="s">
        <v>168</v>
      </c>
    </row>
    <row r="10" spans="1:8">
      <c r="A10" s="91" t="s">
        <v>442</v>
      </c>
      <c r="B10" s="450">
        <f>B33/($B$5*$B$6)</f>
        <v>191.9111111111111</v>
      </c>
      <c r="C10" s="450">
        <f t="shared" ref="C10:H10" si="0">C33/($B$5*$B$6)</f>
        <v>215.9</v>
      </c>
      <c r="D10" s="450">
        <f t="shared" si="0"/>
        <v>239.88888888888889</v>
      </c>
      <c r="E10" s="450">
        <f t="shared" si="0"/>
        <v>263.87777777777779</v>
      </c>
      <c r="F10" s="450">
        <f t="shared" si="0"/>
        <v>287.86666666666667</v>
      </c>
      <c r="G10" s="450">
        <f t="shared" si="0"/>
        <v>311.85555555555555</v>
      </c>
      <c r="H10" s="450">
        <f t="shared" si="0"/>
        <v>335.84444444444443</v>
      </c>
    </row>
    <row r="11" spans="1:8">
      <c r="A11" s="196" t="str">
        <f>'10.Grain Production details'!A42</f>
        <v>Soybean</v>
      </c>
      <c r="B11" s="196">
        <f>'10.Grain Production details'!B42</f>
        <v>24000</v>
      </c>
      <c r="C11" s="196">
        <f>'10.Grain Production details'!C42</f>
        <v>27000</v>
      </c>
      <c r="D11" s="196">
        <f>'10.Grain Production details'!D42</f>
        <v>30000</v>
      </c>
      <c r="E11" s="196">
        <f>'10.Grain Production details'!E42</f>
        <v>33000</v>
      </c>
      <c r="F11" s="196">
        <f>'10.Grain Production details'!F42</f>
        <v>36000</v>
      </c>
      <c r="G11" s="196">
        <f>'10.Grain Production details'!G42</f>
        <v>39000</v>
      </c>
      <c r="H11" s="196">
        <f>'10.Grain Production details'!H42</f>
        <v>42000</v>
      </c>
    </row>
    <row r="12" spans="1:8">
      <c r="A12" s="196" t="str">
        <f>'10.Grain Production details'!A43</f>
        <v>Red Gram/Tur</v>
      </c>
      <c r="B12" s="196">
        <f>'10.Grain Production details'!B43</f>
        <v>7980</v>
      </c>
      <c r="C12" s="196">
        <f>'10.Grain Production details'!C43</f>
        <v>8977.5</v>
      </c>
      <c r="D12" s="196">
        <f>'10.Grain Production details'!D43</f>
        <v>9975</v>
      </c>
      <c r="E12" s="196">
        <f>'10.Grain Production details'!E43</f>
        <v>10972.5</v>
      </c>
      <c r="F12" s="196">
        <f>'10.Grain Production details'!F43</f>
        <v>11970.000000000002</v>
      </c>
      <c r="G12" s="196">
        <f>'10.Grain Production details'!G43</f>
        <v>12967.500000000002</v>
      </c>
      <c r="H12" s="196">
        <f>'10.Grain Production details'!H43</f>
        <v>13965.000000000004</v>
      </c>
    </row>
    <row r="13" spans="1:8" hidden="1">
      <c r="A13" s="196" t="str">
        <f>'10.Grain Production details'!A44</f>
        <v>Paddy/Rice</v>
      </c>
      <c r="B13" s="196">
        <f>'10.Grain Production details'!B44</f>
        <v>0</v>
      </c>
      <c r="C13" s="196">
        <f>'10.Grain Production details'!C44</f>
        <v>0</v>
      </c>
      <c r="D13" s="196">
        <f>'10.Grain Production details'!D44</f>
        <v>0</v>
      </c>
      <c r="E13" s="196">
        <f>'10.Grain Production details'!E44</f>
        <v>0</v>
      </c>
      <c r="F13" s="196">
        <f>'10.Grain Production details'!F44</f>
        <v>0</v>
      </c>
      <c r="G13" s="196">
        <f>'10.Grain Production details'!G44</f>
        <v>0</v>
      </c>
      <c r="H13" s="196">
        <f>'10.Grain Production details'!H44</f>
        <v>0</v>
      </c>
    </row>
    <row r="14" spans="1:8" hidden="1">
      <c r="A14" s="196" t="str">
        <f>'10.Grain Production details'!A45</f>
        <v>Green Gram/ Moong</v>
      </c>
      <c r="B14" s="196">
        <f>'10.Grain Production details'!B45</f>
        <v>0</v>
      </c>
      <c r="C14" s="196">
        <f>'10.Grain Production details'!C45</f>
        <v>0</v>
      </c>
      <c r="D14" s="196">
        <f>'10.Grain Production details'!D45</f>
        <v>0</v>
      </c>
      <c r="E14" s="196">
        <f>'10.Grain Production details'!E45</f>
        <v>0</v>
      </c>
      <c r="F14" s="196">
        <f>'10.Grain Production details'!F45</f>
        <v>0</v>
      </c>
      <c r="G14" s="196">
        <f>'10.Grain Production details'!G45</f>
        <v>0</v>
      </c>
      <c r="H14" s="196">
        <f>'10.Grain Production details'!H45</f>
        <v>0</v>
      </c>
    </row>
    <row r="15" spans="1:8" hidden="1">
      <c r="A15" s="196" t="str">
        <f>'10.Grain Production details'!A46</f>
        <v>Maize</v>
      </c>
      <c r="B15" s="196">
        <f>'10.Grain Production details'!B46</f>
        <v>0</v>
      </c>
      <c r="C15" s="196">
        <f>'10.Grain Production details'!C46</f>
        <v>0</v>
      </c>
      <c r="D15" s="196">
        <f>'10.Grain Production details'!D46</f>
        <v>0</v>
      </c>
      <c r="E15" s="196">
        <f>'10.Grain Production details'!E46</f>
        <v>0</v>
      </c>
      <c r="F15" s="196">
        <f>'10.Grain Production details'!F46</f>
        <v>0</v>
      </c>
      <c r="G15" s="196">
        <f>'10.Grain Production details'!G46</f>
        <v>0</v>
      </c>
      <c r="H15" s="196">
        <f>'10.Grain Production details'!H46</f>
        <v>0</v>
      </c>
    </row>
    <row r="16" spans="1:8" hidden="1">
      <c r="A16" s="196" t="str">
        <f>'10.Grain Production details'!A47</f>
        <v>Black Gram/Udid</v>
      </c>
      <c r="B16" s="196">
        <f>'10.Grain Production details'!B47</f>
        <v>0</v>
      </c>
      <c r="C16" s="196">
        <f>'10.Grain Production details'!C47</f>
        <v>0</v>
      </c>
      <c r="D16" s="196">
        <f>'10.Grain Production details'!D47</f>
        <v>0</v>
      </c>
      <c r="E16" s="196">
        <f>'10.Grain Production details'!E47</f>
        <v>0</v>
      </c>
      <c r="F16" s="196">
        <f>'10.Grain Production details'!F47</f>
        <v>0</v>
      </c>
      <c r="G16" s="196">
        <f>'10.Grain Production details'!G47</f>
        <v>0</v>
      </c>
      <c r="H16" s="196">
        <f>'10.Grain Production details'!H47</f>
        <v>0</v>
      </c>
    </row>
    <row r="17" spans="1:8" hidden="1">
      <c r="A17" s="196" t="str">
        <f>'10.Grain Production details'!A48</f>
        <v>Bajra</v>
      </c>
      <c r="B17" s="196">
        <f>'10.Grain Production details'!B48</f>
        <v>0</v>
      </c>
      <c r="C17" s="196">
        <f>'10.Grain Production details'!C48</f>
        <v>0</v>
      </c>
      <c r="D17" s="196">
        <f>'10.Grain Production details'!D48</f>
        <v>0</v>
      </c>
      <c r="E17" s="196">
        <f>'10.Grain Production details'!E48</f>
        <v>0</v>
      </c>
      <c r="F17" s="196">
        <f>'10.Grain Production details'!F48</f>
        <v>0</v>
      </c>
      <c r="G17" s="196">
        <f>'10.Grain Production details'!G48</f>
        <v>0</v>
      </c>
      <c r="H17" s="196">
        <f>'10.Grain Production details'!H48</f>
        <v>0</v>
      </c>
    </row>
    <row r="18" spans="1:8" hidden="1">
      <c r="A18" s="196" t="str">
        <f>'10.Grain Production details'!A49</f>
        <v>Jawar</v>
      </c>
      <c r="B18" s="196">
        <f>'10.Grain Production details'!B49</f>
        <v>0</v>
      </c>
      <c r="C18" s="196">
        <f>'10.Grain Production details'!C49</f>
        <v>0</v>
      </c>
      <c r="D18" s="196">
        <f>'10.Grain Production details'!D49</f>
        <v>0</v>
      </c>
      <c r="E18" s="196">
        <f>'10.Grain Production details'!E49</f>
        <v>0</v>
      </c>
      <c r="F18" s="196">
        <f>'10.Grain Production details'!F49</f>
        <v>0</v>
      </c>
      <c r="G18" s="196">
        <f>'10.Grain Production details'!G49</f>
        <v>0</v>
      </c>
      <c r="H18" s="196">
        <f>'10.Grain Production details'!H49</f>
        <v>0</v>
      </c>
    </row>
    <row r="19" spans="1:8" hidden="1">
      <c r="A19" s="196" t="str">
        <f>'10.Grain Production details'!A50</f>
        <v>Sunflower</v>
      </c>
      <c r="B19" s="196">
        <f>'10.Grain Production details'!B50</f>
        <v>0</v>
      </c>
      <c r="C19" s="196">
        <f>'10.Grain Production details'!C50</f>
        <v>0</v>
      </c>
      <c r="D19" s="196">
        <f>'10.Grain Production details'!D50</f>
        <v>0</v>
      </c>
      <c r="E19" s="196">
        <f>'10.Grain Production details'!E50</f>
        <v>0</v>
      </c>
      <c r="F19" s="196">
        <f>'10.Grain Production details'!F50</f>
        <v>0</v>
      </c>
      <c r="G19" s="196">
        <f>'10.Grain Production details'!G50</f>
        <v>0</v>
      </c>
      <c r="H19" s="196">
        <f>'10.Grain Production details'!H50</f>
        <v>0</v>
      </c>
    </row>
    <row r="20" spans="1:8">
      <c r="A20" s="196" t="str">
        <f>'10.Grain Production details'!A51</f>
        <v>Wheat</v>
      </c>
      <c r="B20" s="196">
        <f>'10.Grain Production details'!B51</f>
        <v>3600</v>
      </c>
      <c r="C20" s="196">
        <f>'10.Grain Production details'!C51</f>
        <v>4050</v>
      </c>
      <c r="D20" s="196">
        <f>'10.Grain Production details'!D51</f>
        <v>4500</v>
      </c>
      <c r="E20" s="196">
        <f>'10.Grain Production details'!E51</f>
        <v>4950</v>
      </c>
      <c r="F20" s="196">
        <f>'10.Grain Production details'!F51</f>
        <v>5400.0000000000009</v>
      </c>
      <c r="G20" s="196">
        <f>'10.Grain Production details'!G51</f>
        <v>5850.0000000000009</v>
      </c>
      <c r="H20" s="196">
        <f>'10.Grain Production details'!H51</f>
        <v>6300.0000000000018</v>
      </c>
    </row>
    <row r="21" spans="1:8">
      <c r="A21" s="196" t="str">
        <f>'10.Grain Production details'!A52</f>
        <v>Bengal Gram/Channa</v>
      </c>
      <c r="B21" s="196">
        <f>'10.Grain Production details'!B52</f>
        <v>7600</v>
      </c>
      <c r="C21" s="196">
        <f>'10.Grain Production details'!C52</f>
        <v>8550</v>
      </c>
      <c r="D21" s="196">
        <f>'10.Grain Production details'!D52</f>
        <v>9500</v>
      </c>
      <c r="E21" s="196">
        <f>'10.Grain Production details'!E52</f>
        <v>10450</v>
      </c>
      <c r="F21" s="196">
        <f>'10.Grain Production details'!F52</f>
        <v>11400.000000000002</v>
      </c>
      <c r="G21" s="196">
        <f>'10.Grain Production details'!G52</f>
        <v>12350.000000000002</v>
      </c>
      <c r="H21" s="196">
        <f>'10.Grain Production details'!H52</f>
        <v>13300.000000000004</v>
      </c>
    </row>
    <row r="22" spans="1:8" hidden="1">
      <c r="A22" s="196" t="str">
        <f>'10.Grain Production details'!A53</f>
        <v>Jawar</v>
      </c>
      <c r="B22" s="196">
        <f>'10.Grain Production details'!B53</f>
        <v>0</v>
      </c>
      <c r="C22" s="196">
        <f>'10.Grain Production details'!C53</f>
        <v>0</v>
      </c>
      <c r="D22" s="196">
        <f>'10.Grain Production details'!D53</f>
        <v>0</v>
      </c>
      <c r="E22" s="196">
        <f>'10.Grain Production details'!E53</f>
        <v>0</v>
      </c>
      <c r="F22" s="196">
        <f>'10.Grain Production details'!F53</f>
        <v>0</v>
      </c>
      <c r="G22" s="196">
        <f>'10.Grain Production details'!G53</f>
        <v>0</v>
      </c>
      <c r="H22" s="196">
        <f>'10.Grain Production details'!H53</f>
        <v>0</v>
      </c>
    </row>
    <row r="23" spans="1:8" hidden="1">
      <c r="A23" s="196" t="str">
        <f>'10.Grain Production details'!A54</f>
        <v>Maize</v>
      </c>
      <c r="B23" s="196">
        <f>'10.Grain Production details'!B54</f>
        <v>0</v>
      </c>
      <c r="C23" s="196">
        <f>'10.Grain Production details'!C54</f>
        <v>0</v>
      </c>
      <c r="D23" s="196">
        <f>'10.Grain Production details'!D54</f>
        <v>0</v>
      </c>
      <c r="E23" s="196">
        <f>'10.Grain Production details'!E54</f>
        <v>0</v>
      </c>
      <c r="F23" s="196">
        <f>'10.Grain Production details'!F54</f>
        <v>0</v>
      </c>
      <c r="G23" s="196">
        <f>'10.Grain Production details'!G54</f>
        <v>0</v>
      </c>
      <c r="H23" s="196">
        <f>'10.Grain Production details'!H54</f>
        <v>0</v>
      </c>
    </row>
    <row r="24" spans="1:8" hidden="1">
      <c r="A24" s="196" t="str">
        <f>'10.Grain Production details'!A55</f>
        <v>Safflower</v>
      </c>
      <c r="B24" s="196">
        <f>'10.Grain Production details'!B55</f>
        <v>0</v>
      </c>
      <c r="C24" s="196">
        <f>'10.Grain Production details'!C55</f>
        <v>0</v>
      </c>
      <c r="D24" s="196">
        <f>'10.Grain Production details'!D55</f>
        <v>0</v>
      </c>
      <c r="E24" s="196">
        <f>'10.Grain Production details'!E55</f>
        <v>0</v>
      </c>
      <c r="F24" s="196">
        <f>'10.Grain Production details'!F55</f>
        <v>0</v>
      </c>
      <c r="G24" s="196">
        <f>'10.Grain Production details'!G55</f>
        <v>0</v>
      </c>
      <c r="H24" s="196">
        <f>'10.Grain Production details'!H55</f>
        <v>0</v>
      </c>
    </row>
    <row r="25" spans="1:8" hidden="1">
      <c r="A25" s="196">
        <f>'10.Grain Production details'!A56</f>
        <v>0</v>
      </c>
      <c r="B25" s="196">
        <f>'10.Grain Production details'!B56</f>
        <v>0</v>
      </c>
      <c r="C25" s="196">
        <f>'10.Grain Production details'!C56</f>
        <v>0</v>
      </c>
      <c r="D25" s="196">
        <f>'10.Grain Production details'!D56</f>
        <v>0</v>
      </c>
      <c r="E25" s="196">
        <f>'10.Grain Production details'!E56</f>
        <v>0</v>
      </c>
      <c r="F25" s="196">
        <f>'10.Grain Production details'!F56</f>
        <v>0</v>
      </c>
      <c r="G25" s="196">
        <f>'10.Grain Production details'!G56</f>
        <v>0</v>
      </c>
      <c r="H25" s="196">
        <f>'10.Grain Production details'!H56</f>
        <v>0</v>
      </c>
    </row>
    <row r="26" spans="1:8" hidden="1">
      <c r="A26" s="196">
        <f>'10.Grain Production details'!A57</f>
        <v>0</v>
      </c>
      <c r="B26" s="196">
        <f>'10.Grain Production details'!B57</f>
        <v>0</v>
      </c>
      <c r="C26" s="196">
        <f>'10.Grain Production details'!C57</f>
        <v>0</v>
      </c>
      <c r="D26" s="196">
        <f>'10.Grain Production details'!D57</f>
        <v>0</v>
      </c>
      <c r="E26" s="196">
        <f>'10.Grain Production details'!E57</f>
        <v>0</v>
      </c>
      <c r="F26" s="196">
        <f>'10.Grain Production details'!F57</f>
        <v>0</v>
      </c>
      <c r="G26" s="196">
        <f>'10.Grain Production details'!G57</f>
        <v>0</v>
      </c>
      <c r="H26" s="196">
        <f>'10.Grain Production details'!H57</f>
        <v>0</v>
      </c>
    </row>
    <row r="27" spans="1:8" hidden="1">
      <c r="A27" s="196">
        <f>'10.Grain Production details'!A58</f>
        <v>0</v>
      </c>
      <c r="B27" s="196">
        <f>'10.Grain Production details'!B58</f>
        <v>0</v>
      </c>
      <c r="C27" s="196">
        <f>'10.Grain Production details'!C58</f>
        <v>0</v>
      </c>
      <c r="D27" s="196">
        <f>'10.Grain Production details'!D58</f>
        <v>0</v>
      </c>
      <c r="E27" s="196">
        <f>'10.Grain Production details'!E58</f>
        <v>0</v>
      </c>
      <c r="F27" s="196">
        <f>'10.Grain Production details'!F58</f>
        <v>0</v>
      </c>
      <c r="G27" s="196">
        <f>'10.Grain Production details'!G58</f>
        <v>0</v>
      </c>
      <c r="H27" s="196">
        <f>'10.Grain Production details'!H58</f>
        <v>0</v>
      </c>
    </row>
    <row r="28" spans="1:8" hidden="1">
      <c r="A28" s="196" t="str">
        <f>'10.Grain Production details'!A59</f>
        <v>Groundnut</v>
      </c>
      <c r="B28" s="196">
        <f>'10.Grain Production details'!B59</f>
        <v>0</v>
      </c>
      <c r="C28" s="196">
        <f>'10.Grain Production details'!C59</f>
        <v>0</v>
      </c>
      <c r="D28" s="196">
        <f>'10.Grain Production details'!D59</f>
        <v>0</v>
      </c>
      <c r="E28" s="196">
        <f>'10.Grain Production details'!E59</f>
        <v>0</v>
      </c>
      <c r="F28" s="196">
        <f>'10.Grain Production details'!F59</f>
        <v>0</v>
      </c>
      <c r="G28" s="196">
        <f>'10.Grain Production details'!G59</f>
        <v>0</v>
      </c>
      <c r="H28" s="196">
        <f>'10.Grain Production details'!H59</f>
        <v>0</v>
      </c>
    </row>
    <row r="29" spans="1:8" hidden="1">
      <c r="A29" s="196">
        <f>'10.Grain Production details'!A60</f>
        <v>0</v>
      </c>
      <c r="B29" s="196">
        <f>'10.Grain Production details'!B60</f>
        <v>0</v>
      </c>
      <c r="C29" s="196">
        <f>'10.Grain Production details'!C60</f>
        <v>0</v>
      </c>
      <c r="D29" s="196">
        <f>'10.Grain Production details'!D60</f>
        <v>0</v>
      </c>
      <c r="E29" s="196">
        <f>'10.Grain Production details'!E60</f>
        <v>0</v>
      </c>
      <c r="F29" s="196">
        <f>'10.Grain Production details'!F60</f>
        <v>0</v>
      </c>
      <c r="G29" s="196">
        <f>'10.Grain Production details'!G60</f>
        <v>0</v>
      </c>
      <c r="H29" s="196">
        <f>'10.Grain Production details'!H60</f>
        <v>0</v>
      </c>
    </row>
    <row r="30" spans="1:8" hidden="1">
      <c r="A30" s="196">
        <f>'10.Grain Production details'!A61</f>
        <v>0</v>
      </c>
      <c r="B30" s="196">
        <f>'10.Grain Production details'!B61</f>
        <v>0</v>
      </c>
      <c r="C30" s="196">
        <f>'10.Grain Production details'!C61</f>
        <v>0</v>
      </c>
      <c r="D30" s="196">
        <f>'10.Grain Production details'!D61</f>
        <v>0</v>
      </c>
      <c r="E30" s="196">
        <f>'10.Grain Production details'!E61</f>
        <v>0</v>
      </c>
      <c r="F30" s="196">
        <f>'10.Grain Production details'!F61</f>
        <v>0</v>
      </c>
      <c r="G30" s="196">
        <f>'10.Grain Production details'!G61</f>
        <v>0</v>
      </c>
      <c r="H30" s="196">
        <f>'10.Grain Production details'!H61</f>
        <v>0</v>
      </c>
    </row>
    <row r="31" spans="1:8" hidden="1">
      <c r="A31" s="196">
        <f>'10.Grain Production details'!A62</f>
        <v>0</v>
      </c>
      <c r="B31" s="196">
        <f>'10.Grain Production details'!B62</f>
        <v>0</v>
      </c>
      <c r="C31" s="196">
        <f>'10.Grain Production details'!C62</f>
        <v>0</v>
      </c>
      <c r="D31" s="196">
        <f>'10.Grain Production details'!D62</f>
        <v>0</v>
      </c>
      <c r="E31" s="196">
        <f>'10.Grain Production details'!E62</f>
        <v>0</v>
      </c>
      <c r="F31" s="196">
        <f>'10.Grain Production details'!F62</f>
        <v>0</v>
      </c>
      <c r="G31" s="196">
        <f>'10.Grain Production details'!G62</f>
        <v>0</v>
      </c>
      <c r="H31" s="196">
        <f>'10.Grain Production details'!H62</f>
        <v>0</v>
      </c>
    </row>
    <row r="32" spans="1:8" hidden="1">
      <c r="A32" s="196">
        <f>'10.Grain Production details'!B63</f>
        <v>0</v>
      </c>
      <c r="B32" s="196">
        <f>'10.Grain Production details'!C63</f>
        <v>0</v>
      </c>
      <c r="C32" s="196">
        <f>'10.Grain Production details'!D63</f>
        <v>0</v>
      </c>
      <c r="D32" s="196">
        <f>'10.Grain Production details'!E63</f>
        <v>0</v>
      </c>
      <c r="E32" s="196">
        <f>'10.Grain Production details'!F63</f>
        <v>0</v>
      </c>
      <c r="F32" s="196">
        <f>'10.Grain Production details'!G63</f>
        <v>0</v>
      </c>
      <c r="G32" s="196">
        <f>'10.Grain Production details'!H63</f>
        <v>0</v>
      </c>
      <c r="H32" s="196">
        <f>'10.Grain Production details'!I63</f>
        <v>0</v>
      </c>
    </row>
    <row r="33" spans="1:8">
      <c r="A33" s="93" t="s">
        <v>510</v>
      </c>
      <c r="B33" s="196">
        <f t="shared" ref="B33:H33" si="1">SUM(B11:B32)</f>
        <v>43180</v>
      </c>
      <c r="C33" s="196">
        <f t="shared" si="1"/>
        <v>48577.5</v>
      </c>
      <c r="D33" s="196">
        <f t="shared" si="1"/>
        <v>53975</v>
      </c>
      <c r="E33" s="196">
        <f t="shared" si="1"/>
        <v>59372.5</v>
      </c>
      <c r="F33" s="196">
        <f t="shared" si="1"/>
        <v>64770</v>
      </c>
      <c r="G33" s="196">
        <f t="shared" si="1"/>
        <v>70167.5</v>
      </c>
      <c r="H33" s="196">
        <f t="shared" si="1"/>
        <v>75565</v>
      </c>
    </row>
    <row r="34" spans="1:8" hidden="1">
      <c r="A34" s="196" t="str">
        <f>'11.F&amp;V Crop Production details'!A1:H1</f>
        <v>Fruit  &amp; Vegetables Crop Production Details</v>
      </c>
      <c r="B34" s="196"/>
      <c r="C34" s="196"/>
      <c r="D34" s="196"/>
      <c r="E34" s="196"/>
      <c r="F34" s="196"/>
      <c r="G34" s="196"/>
      <c r="H34" s="196"/>
    </row>
    <row r="35" spans="1:8" hidden="1">
      <c r="A35" s="196" t="str">
        <f>'11.F&amp;V Crop Production details'!A46</f>
        <v>Onion</v>
      </c>
      <c r="B35" s="196">
        <f>'11.F&amp;V Crop Production details'!B46</f>
        <v>0</v>
      </c>
      <c r="C35" s="196">
        <f>'11.F&amp;V Crop Production details'!C46</f>
        <v>0</v>
      </c>
      <c r="D35" s="196">
        <f>'11.F&amp;V Crop Production details'!D46</f>
        <v>0</v>
      </c>
      <c r="E35" s="196">
        <f>'11.F&amp;V Crop Production details'!E46</f>
        <v>0</v>
      </c>
      <c r="F35" s="196">
        <f>'11.F&amp;V Crop Production details'!F46</f>
        <v>0</v>
      </c>
      <c r="G35" s="196">
        <f>'11.F&amp;V Crop Production details'!G46</f>
        <v>0</v>
      </c>
      <c r="H35" s="196">
        <f>'11.F&amp;V Crop Production details'!H46</f>
        <v>0</v>
      </c>
    </row>
    <row r="36" spans="1:8" hidden="1">
      <c r="A36" s="196" t="str">
        <f>'11.F&amp;V Crop Production details'!A47</f>
        <v>Tomato</v>
      </c>
      <c r="B36" s="196">
        <f>'11.F&amp;V Crop Production details'!B47</f>
        <v>0</v>
      </c>
      <c r="C36" s="196">
        <f>'11.F&amp;V Crop Production details'!C47</f>
        <v>0</v>
      </c>
      <c r="D36" s="196">
        <f>'11.F&amp;V Crop Production details'!D47</f>
        <v>0</v>
      </c>
      <c r="E36" s="196">
        <f>'11.F&amp;V Crop Production details'!E47</f>
        <v>0</v>
      </c>
      <c r="F36" s="196">
        <f>'11.F&amp;V Crop Production details'!F47</f>
        <v>0</v>
      </c>
      <c r="G36" s="196">
        <f>'11.F&amp;V Crop Production details'!G47</f>
        <v>0</v>
      </c>
      <c r="H36" s="196">
        <f>'11.F&amp;V Crop Production details'!H47</f>
        <v>0</v>
      </c>
    </row>
    <row r="37" spans="1:8" hidden="1">
      <c r="A37" s="196" t="str">
        <f>'11.F&amp;V Crop Production details'!A48</f>
        <v>Okra</v>
      </c>
      <c r="B37" s="196">
        <f>'11.F&amp;V Crop Production details'!B48</f>
        <v>0</v>
      </c>
      <c r="C37" s="196">
        <f>'11.F&amp;V Crop Production details'!C48</f>
        <v>0</v>
      </c>
      <c r="D37" s="196">
        <f>'11.F&amp;V Crop Production details'!D48</f>
        <v>0</v>
      </c>
      <c r="E37" s="196">
        <f>'11.F&amp;V Crop Production details'!E48</f>
        <v>0</v>
      </c>
      <c r="F37" s="196">
        <f>'11.F&amp;V Crop Production details'!F48</f>
        <v>0</v>
      </c>
      <c r="G37" s="196">
        <f>'11.F&amp;V Crop Production details'!G48</f>
        <v>0</v>
      </c>
      <c r="H37" s="196">
        <f>'11.F&amp;V Crop Production details'!H48</f>
        <v>0</v>
      </c>
    </row>
    <row r="38" spans="1:8" hidden="1">
      <c r="A38" s="196" t="str">
        <f>'11.F&amp;V Crop Production details'!A49</f>
        <v>Chilli</v>
      </c>
      <c r="B38" s="196">
        <f>'11.F&amp;V Crop Production details'!B49</f>
        <v>0</v>
      </c>
      <c r="C38" s="196">
        <f>'11.F&amp;V Crop Production details'!C49</f>
        <v>0</v>
      </c>
      <c r="D38" s="196">
        <f>'11.F&amp;V Crop Production details'!D49</f>
        <v>0</v>
      </c>
      <c r="E38" s="196">
        <f>'11.F&amp;V Crop Production details'!E49</f>
        <v>0</v>
      </c>
      <c r="F38" s="196">
        <f>'11.F&amp;V Crop Production details'!F49</f>
        <v>0</v>
      </c>
      <c r="G38" s="196">
        <f>'11.F&amp;V Crop Production details'!G49</f>
        <v>0</v>
      </c>
      <c r="H38" s="196">
        <f>'11.F&amp;V Crop Production details'!H49</f>
        <v>0</v>
      </c>
    </row>
    <row r="39" spans="1:8" hidden="1">
      <c r="A39" s="196" t="str">
        <f>'11.F&amp;V Crop Production details'!A50</f>
        <v>Potato</v>
      </c>
      <c r="B39" s="196">
        <f>'11.F&amp;V Crop Production details'!B50</f>
        <v>0</v>
      </c>
      <c r="C39" s="196">
        <f>'11.F&amp;V Crop Production details'!C50</f>
        <v>0</v>
      </c>
      <c r="D39" s="196">
        <f>'11.F&amp;V Crop Production details'!D50</f>
        <v>0</v>
      </c>
      <c r="E39" s="196">
        <f>'11.F&amp;V Crop Production details'!E50</f>
        <v>0</v>
      </c>
      <c r="F39" s="196">
        <f>'11.F&amp;V Crop Production details'!F50</f>
        <v>0</v>
      </c>
      <c r="G39" s="196">
        <f>'11.F&amp;V Crop Production details'!G50</f>
        <v>0</v>
      </c>
      <c r="H39" s="196">
        <f>'11.F&amp;V Crop Production details'!H50</f>
        <v>0</v>
      </c>
    </row>
    <row r="40" spans="1:8" hidden="1">
      <c r="A40" s="196">
        <f>'11.F&amp;V Crop Production details'!A51</f>
        <v>0</v>
      </c>
      <c r="B40" s="196">
        <f>'11.F&amp;V Crop Production details'!B51</f>
        <v>0</v>
      </c>
      <c r="C40" s="196">
        <f>'11.F&amp;V Crop Production details'!C51</f>
        <v>0</v>
      </c>
      <c r="D40" s="196">
        <f>'11.F&amp;V Crop Production details'!D51</f>
        <v>0</v>
      </c>
      <c r="E40" s="196">
        <f>'11.F&amp;V Crop Production details'!E51</f>
        <v>0</v>
      </c>
      <c r="F40" s="196">
        <f>'11.F&amp;V Crop Production details'!F51</f>
        <v>0</v>
      </c>
      <c r="G40" s="196">
        <f>'11.F&amp;V Crop Production details'!G51</f>
        <v>0</v>
      </c>
      <c r="H40" s="196">
        <f>'11.F&amp;V Crop Production details'!H51</f>
        <v>0</v>
      </c>
    </row>
    <row r="41" spans="1:8" hidden="1">
      <c r="A41" s="196">
        <f>'11.F&amp;V Crop Production details'!A52</f>
        <v>0</v>
      </c>
      <c r="B41" s="196">
        <f>'11.F&amp;V Crop Production details'!B52</f>
        <v>0</v>
      </c>
      <c r="C41" s="196">
        <f>'11.F&amp;V Crop Production details'!C52</f>
        <v>0</v>
      </c>
      <c r="D41" s="196">
        <f>'11.F&amp;V Crop Production details'!D52</f>
        <v>0</v>
      </c>
      <c r="E41" s="196">
        <f>'11.F&amp;V Crop Production details'!E52</f>
        <v>0</v>
      </c>
      <c r="F41" s="196">
        <f>'11.F&amp;V Crop Production details'!F52</f>
        <v>0</v>
      </c>
      <c r="G41" s="196">
        <f>'11.F&amp;V Crop Production details'!G52</f>
        <v>0</v>
      </c>
      <c r="H41" s="196">
        <f>'11.F&amp;V Crop Production details'!H52</f>
        <v>0</v>
      </c>
    </row>
    <row r="42" spans="1:8" hidden="1">
      <c r="A42" s="196">
        <f>'11.F&amp;V Crop Production details'!A53</f>
        <v>0</v>
      </c>
      <c r="B42" s="196">
        <f>'11.F&amp;V Crop Production details'!B53</f>
        <v>0</v>
      </c>
      <c r="C42" s="196">
        <f>'11.F&amp;V Crop Production details'!C53</f>
        <v>0</v>
      </c>
      <c r="D42" s="196">
        <f>'11.F&amp;V Crop Production details'!D53</f>
        <v>0</v>
      </c>
      <c r="E42" s="196">
        <f>'11.F&amp;V Crop Production details'!E53</f>
        <v>0</v>
      </c>
      <c r="F42" s="196">
        <f>'11.F&amp;V Crop Production details'!F53</f>
        <v>0</v>
      </c>
      <c r="G42" s="196">
        <f>'11.F&amp;V Crop Production details'!G53</f>
        <v>0</v>
      </c>
      <c r="H42" s="196">
        <f>'11.F&amp;V Crop Production details'!H53</f>
        <v>0</v>
      </c>
    </row>
    <row r="43" spans="1:8" hidden="1">
      <c r="A43" s="196">
        <f>'11.F&amp;V Crop Production details'!A54</f>
        <v>0</v>
      </c>
      <c r="B43" s="196">
        <f>'11.F&amp;V Crop Production details'!B54</f>
        <v>0</v>
      </c>
      <c r="C43" s="196">
        <f>'11.F&amp;V Crop Production details'!C54</f>
        <v>0</v>
      </c>
      <c r="D43" s="196">
        <f>'11.F&amp;V Crop Production details'!D54</f>
        <v>0</v>
      </c>
      <c r="E43" s="196">
        <f>'11.F&amp;V Crop Production details'!E54</f>
        <v>0</v>
      </c>
      <c r="F43" s="196">
        <f>'11.F&amp;V Crop Production details'!F54</f>
        <v>0</v>
      </c>
      <c r="G43" s="196">
        <f>'11.F&amp;V Crop Production details'!G54</f>
        <v>0</v>
      </c>
      <c r="H43" s="196">
        <f>'11.F&amp;V Crop Production details'!H54</f>
        <v>0</v>
      </c>
    </row>
    <row r="44" spans="1:8" hidden="1">
      <c r="A44" s="196" t="str">
        <f>'11.F&amp;V Crop Production details'!A55</f>
        <v>Onion</v>
      </c>
      <c r="B44" s="196">
        <f>'11.F&amp;V Crop Production details'!B55</f>
        <v>0</v>
      </c>
      <c r="C44" s="196">
        <f>'11.F&amp;V Crop Production details'!C55</f>
        <v>0</v>
      </c>
      <c r="D44" s="196">
        <f>'11.F&amp;V Crop Production details'!D55</f>
        <v>0</v>
      </c>
      <c r="E44" s="196">
        <f>'11.F&amp;V Crop Production details'!E55</f>
        <v>0</v>
      </c>
      <c r="F44" s="196">
        <f>'11.F&amp;V Crop Production details'!F55</f>
        <v>0</v>
      </c>
      <c r="G44" s="196">
        <f>'11.F&amp;V Crop Production details'!G55</f>
        <v>0</v>
      </c>
      <c r="H44" s="196">
        <f>'11.F&amp;V Crop Production details'!H55</f>
        <v>0</v>
      </c>
    </row>
    <row r="45" spans="1:8" hidden="1">
      <c r="A45" s="196" t="str">
        <f>'11.F&amp;V Crop Production details'!A56</f>
        <v>Tomato</v>
      </c>
      <c r="B45" s="196">
        <f>'11.F&amp;V Crop Production details'!B56</f>
        <v>0</v>
      </c>
      <c r="C45" s="196">
        <f>'11.F&amp;V Crop Production details'!C56</f>
        <v>0</v>
      </c>
      <c r="D45" s="196">
        <f>'11.F&amp;V Crop Production details'!D56</f>
        <v>0</v>
      </c>
      <c r="E45" s="196">
        <f>'11.F&amp;V Crop Production details'!E56</f>
        <v>0</v>
      </c>
      <c r="F45" s="196">
        <f>'11.F&amp;V Crop Production details'!F56</f>
        <v>0</v>
      </c>
      <c r="G45" s="196">
        <f>'11.F&amp;V Crop Production details'!G56</f>
        <v>0</v>
      </c>
      <c r="H45" s="196">
        <f>'11.F&amp;V Crop Production details'!H56</f>
        <v>0</v>
      </c>
    </row>
    <row r="46" spans="1:8" hidden="1">
      <c r="A46" s="196" t="str">
        <f>'11.F&amp;V Crop Production details'!A57</f>
        <v>Okra</v>
      </c>
      <c r="B46" s="196">
        <f>'11.F&amp;V Crop Production details'!B57</f>
        <v>0</v>
      </c>
      <c r="C46" s="196">
        <f>'11.F&amp;V Crop Production details'!C57</f>
        <v>0</v>
      </c>
      <c r="D46" s="196">
        <f>'11.F&amp;V Crop Production details'!D57</f>
        <v>0</v>
      </c>
      <c r="E46" s="196">
        <f>'11.F&amp;V Crop Production details'!E57</f>
        <v>0</v>
      </c>
      <c r="F46" s="196">
        <f>'11.F&amp;V Crop Production details'!F57</f>
        <v>0</v>
      </c>
      <c r="G46" s="196">
        <f>'11.F&amp;V Crop Production details'!G57</f>
        <v>0</v>
      </c>
      <c r="H46" s="196">
        <f>'11.F&amp;V Crop Production details'!H57</f>
        <v>0</v>
      </c>
    </row>
    <row r="47" spans="1:8" hidden="1">
      <c r="A47" s="196" t="str">
        <f>'11.F&amp;V Crop Production details'!A58</f>
        <v>Chilli</v>
      </c>
      <c r="B47" s="196">
        <f>'11.F&amp;V Crop Production details'!B58</f>
        <v>0</v>
      </c>
      <c r="C47" s="196">
        <f>'11.F&amp;V Crop Production details'!C58</f>
        <v>0</v>
      </c>
      <c r="D47" s="196">
        <f>'11.F&amp;V Crop Production details'!D58</f>
        <v>0</v>
      </c>
      <c r="E47" s="196">
        <f>'11.F&amp;V Crop Production details'!E58</f>
        <v>0</v>
      </c>
      <c r="F47" s="196">
        <f>'11.F&amp;V Crop Production details'!F58</f>
        <v>0</v>
      </c>
      <c r="G47" s="196">
        <f>'11.F&amp;V Crop Production details'!G58</f>
        <v>0</v>
      </c>
      <c r="H47" s="196">
        <f>'11.F&amp;V Crop Production details'!H58</f>
        <v>0</v>
      </c>
    </row>
    <row r="48" spans="1:8" hidden="1">
      <c r="A48" s="196" t="str">
        <f>'11.F&amp;V Crop Production details'!A59</f>
        <v>Brinjal</v>
      </c>
      <c r="B48" s="196">
        <f>'11.F&amp;V Crop Production details'!B59</f>
        <v>0</v>
      </c>
      <c r="C48" s="196">
        <f>'11.F&amp;V Crop Production details'!C59</f>
        <v>0</v>
      </c>
      <c r="D48" s="196">
        <f>'11.F&amp;V Crop Production details'!D59</f>
        <v>0</v>
      </c>
      <c r="E48" s="196">
        <f>'11.F&amp;V Crop Production details'!E59</f>
        <v>0</v>
      </c>
      <c r="F48" s="196">
        <f>'11.F&amp;V Crop Production details'!F59</f>
        <v>0</v>
      </c>
      <c r="G48" s="196">
        <f>'11.F&amp;V Crop Production details'!G59</f>
        <v>0</v>
      </c>
      <c r="H48" s="196">
        <f>'11.F&amp;V Crop Production details'!H59</f>
        <v>0</v>
      </c>
    </row>
    <row r="49" spans="1:8" hidden="1">
      <c r="A49" s="196">
        <f>'11.F&amp;V Crop Production details'!A60</f>
        <v>0</v>
      </c>
      <c r="B49" s="196">
        <f>'11.F&amp;V Crop Production details'!B60</f>
        <v>0</v>
      </c>
      <c r="C49" s="196">
        <f>'11.F&amp;V Crop Production details'!C60</f>
        <v>0</v>
      </c>
      <c r="D49" s="196">
        <f>'11.F&amp;V Crop Production details'!D60</f>
        <v>0</v>
      </c>
      <c r="E49" s="196">
        <f>'11.F&amp;V Crop Production details'!E60</f>
        <v>0</v>
      </c>
      <c r="F49" s="196">
        <f>'11.F&amp;V Crop Production details'!F60</f>
        <v>0</v>
      </c>
      <c r="G49" s="196">
        <f>'11.F&amp;V Crop Production details'!G60</f>
        <v>0</v>
      </c>
      <c r="H49" s="196">
        <f>'11.F&amp;V Crop Production details'!H60</f>
        <v>0</v>
      </c>
    </row>
    <row r="50" spans="1:8" hidden="1">
      <c r="A50" s="196">
        <f>'11.F&amp;V Crop Production details'!A61</f>
        <v>0</v>
      </c>
      <c r="B50" s="196">
        <f>'11.F&amp;V Crop Production details'!B61</f>
        <v>0</v>
      </c>
      <c r="C50" s="196">
        <f>'11.F&amp;V Crop Production details'!C61</f>
        <v>0</v>
      </c>
      <c r="D50" s="196">
        <f>'11.F&amp;V Crop Production details'!D61</f>
        <v>0</v>
      </c>
      <c r="E50" s="196">
        <f>'11.F&amp;V Crop Production details'!E61</f>
        <v>0</v>
      </c>
      <c r="F50" s="196">
        <f>'11.F&amp;V Crop Production details'!F61</f>
        <v>0</v>
      </c>
      <c r="G50" s="196">
        <f>'11.F&amp;V Crop Production details'!G61</f>
        <v>0</v>
      </c>
      <c r="H50" s="196">
        <f>'11.F&amp;V Crop Production details'!H61</f>
        <v>0</v>
      </c>
    </row>
    <row r="51" spans="1:8" hidden="1">
      <c r="A51" s="196">
        <f>'11.F&amp;V Crop Production details'!A62</f>
        <v>0</v>
      </c>
      <c r="B51" s="196">
        <f>'11.F&amp;V Crop Production details'!B62</f>
        <v>0</v>
      </c>
      <c r="C51" s="196">
        <f>'11.F&amp;V Crop Production details'!C62</f>
        <v>0</v>
      </c>
      <c r="D51" s="196">
        <f>'11.F&amp;V Crop Production details'!D62</f>
        <v>0</v>
      </c>
      <c r="E51" s="196">
        <f>'11.F&amp;V Crop Production details'!E62</f>
        <v>0</v>
      </c>
      <c r="F51" s="196">
        <f>'11.F&amp;V Crop Production details'!F62</f>
        <v>0</v>
      </c>
      <c r="G51" s="196">
        <f>'11.F&amp;V Crop Production details'!G62</f>
        <v>0</v>
      </c>
      <c r="H51" s="196">
        <f>'11.F&amp;V Crop Production details'!H62</f>
        <v>0</v>
      </c>
    </row>
    <row r="52" spans="1:8" hidden="1">
      <c r="A52" s="196">
        <f>'11.F&amp;V Crop Production details'!A63</f>
        <v>0</v>
      </c>
      <c r="B52" s="196">
        <f>'11.F&amp;V Crop Production details'!B63</f>
        <v>0</v>
      </c>
      <c r="C52" s="196">
        <f>'11.F&amp;V Crop Production details'!C63</f>
        <v>0</v>
      </c>
      <c r="D52" s="196">
        <f>'11.F&amp;V Crop Production details'!D63</f>
        <v>0</v>
      </c>
      <c r="E52" s="196">
        <f>'11.F&amp;V Crop Production details'!E63</f>
        <v>0</v>
      </c>
      <c r="F52" s="196">
        <f>'11.F&amp;V Crop Production details'!F63</f>
        <v>0</v>
      </c>
      <c r="G52" s="196">
        <f>'11.F&amp;V Crop Production details'!G63</f>
        <v>0</v>
      </c>
      <c r="H52" s="196">
        <f>'11.F&amp;V Crop Production details'!H63</f>
        <v>0</v>
      </c>
    </row>
    <row r="53" spans="1:8" hidden="1">
      <c r="A53" s="196">
        <f>'11.F&amp;V Crop Production details'!A64</f>
        <v>0</v>
      </c>
      <c r="B53" s="196"/>
      <c r="C53" s="196"/>
      <c r="D53" s="196"/>
      <c r="E53" s="196"/>
      <c r="F53" s="196"/>
      <c r="G53" s="196"/>
      <c r="H53" s="196"/>
    </row>
    <row r="54" spans="1:8" hidden="1">
      <c r="A54" s="196">
        <f>'11.F&amp;V Crop Production details'!A65</f>
        <v>0</v>
      </c>
      <c r="B54" s="196"/>
      <c r="C54" s="196"/>
      <c r="D54" s="196"/>
      <c r="E54" s="196"/>
      <c r="F54" s="196"/>
      <c r="G54" s="196"/>
      <c r="H54" s="196"/>
    </row>
    <row r="55" spans="1:8" hidden="1">
      <c r="A55" s="196">
        <f>'11.F&amp;V Crop Production details'!A66</f>
        <v>0</v>
      </c>
      <c r="B55" s="196"/>
      <c r="C55" s="196"/>
      <c r="D55" s="196"/>
      <c r="E55" s="196"/>
      <c r="F55" s="196"/>
      <c r="G55" s="196"/>
      <c r="H55" s="196"/>
    </row>
    <row r="56" spans="1:8" hidden="1">
      <c r="A56" s="196" t="str">
        <f>'11.F&amp;V Crop Production details'!A67</f>
        <v>Pomegranate</v>
      </c>
      <c r="B56" s="196">
        <f>'11.F&amp;V Crop Production details'!B67</f>
        <v>0</v>
      </c>
      <c r="C56" s="196">
        <f>'11.F&amp;V Crop Production details'!C67</f>
        <v>0</v>
      </c>
      <c r="D56" s="196">
        <f>'11.F&amp;V Crop Production details'!D67</f>
        <v>0</v>
      </c>
      <c r="E56" s="196">
        <f>'11.F&amp;V Crop Production details'!E67</f>
        <v>0</v>
      </c>
      <c r="F56" s="196">
        <f>'11.F&amp;V Crop Production details'!F67</f>
        <v>0</v>
      </c>
      <c r="G56" s="196">
        <f>'11.F&amp;V Crop Production details'!G67</f>
        <v>0</v>
      </c>
      <c r="H56" s="196">
        <f>'11.F&amp;V Crop Production details'!H67</f>
        <v>0</v>
      </c>
    </row>
    <row r="57" spans="1:8" hidden="1">
      <c r="A57" s="196" t="str">
        <f>'11.F&amp;V Crop Production details'!A68</f>
        <v>Custard Apple</v>
      </c>
      <c r="B57" s="196">
        <f>'11.F&amp;V Crop Production details'!B68</f>
        <v>0</v>
      </c>
      <c r="C57" s="196">
        <f>'11.F&amp;V Crop Production details'!C68</f>
        <v>0</v>
      </c>
      <c r="D57" s="196">
        <f>'11.F&amp;V Crop Production details'!D68</f>
        <v>0</v>
      </c>
      <c r="E57" s="196">
        <f>'11.F&amp;V Crop Production details'!E68</f>
        <v>0</v>
      </c>
      <c r="F57" s="196">
        <f>'11.F&amp;V Crop Production details'!F68</f>
        <v>0</v>
      </c>
      <c r="G57" s="196">
        <f>'11.F&amp;V Crop Production details'!G68</f>
        <v>0</v>
      </c>
      <c r="H57" s="196">
        <f>'11.F&amp;V Crop Production details'!H68</f>
        <v>0</v>
      </c>
    </row>
    <row r="58" spans="1:8" hidden="1">
      <c r="A58" s="196" t="str">
        <f>'11.F&amp;V Crop Production details'!A69</f>
        <v>Guava</v>
      </c>
      <c r="B58" s="196">
        <f>'11.F&amp;V Crop Production details'!B69</f>
        <v>0</v>
      </c>
      <c r="C58" s="196">
        <f>'11.F&amp;V Crop Production details'!C69</f>
        <v>0</v>
      </c>
      <c r="D58" s="196">
        <f>'11.F&amp;V Crop Production details'!D69</f>
        <v>0</v>
      </c>
      <c r="E58" s="196">
        <f>'11.F&amp;V Crop Production details'!E69</f>
        <v>0</v>
      </c>
      <c r="F58" s="196">
        <f>'11.F&amp;V Crop Production details'!F69</f>
        <v>0</v>
      </c>
      <c r="G58" s="196">
        <f>'11.F&amp;V Crop Production details'!G69</f>
        <v>0</v>
      </c>
      <c r="H58" s="196">
        <f>'11.F&amp;V Crop Production details'!H69</f>
        <v>0</v>
      </c>
    </row>
    <row r="59" spans="1:8" hidden="1">
      <c r="A59" s="196" t="str">
        <f>'11.F&amp;V Crop Production details'!A70</f>
        <v>Citrus</v>
      </c>
      <c r="B59" s="196">
        <f>'11.F&amp;V Crop Production details'!B70</f>
        <v>0</v>
      </c>
      <c r="C59" s="196">
        <f>'11.F&amp;V Crop Production details'!C70</f>
        <v>0</v>
      </c>
      <c r="D59" s="196">
        <f>'11.F&amp;V Crop Production details'!D70</f>
        <v>0</v>
      </c>
      <c r="E59" s="196">
        <f>'11.F&amp;V Crop Production details'!E70</f>
        <v>0</v>
      </c>
      <c r="F59" s="196">
        <f>'11.F&amp;V Crop Production details'!F70</f>
        <v>0</v>
      </c>
      <c r="G59" s="196">
        <f>'11.F&amp;V Crop Production details'!G70</f>
        <v>0</v>
      </c>
      <c r="H59" s="196">
        <f>'11.F&amp;V Crop Production details'!H70</f>
        <v>0</v>
      </c>
    </row>
    <row r="60" spans="1:8" hidden="1">
      <c r="A60" s="196"/>
      <c r="B60" s="196"/>
      <c r="C60" s="196"/>
      <c r="D60" s="196"/>
      <c r="E60" s="196"/>
      <c r="F60" s="196"/>
      <c r="G60" s="196"/>
      <c r="H60" s="196"/>
    </row>
    <row r="61" spans="1:8" hidden="1">
      <c r="A61" s="93" t="s">
        <v>509</v>
      </c>
      <c r="B61" s="196">
        <f t="shared" ref="B61:H61" si="2">SUM(B35:B59)</f>
        <v>0</v>
      </c>
      <c r="C61" s="196">
        <f t="shared" si="2"/>
        <v>0</v>
      </c>
      <c r="D61" s="196">
        <f t="shared" si="2"/>
        <v>0</v>
      </c>
      <c r="E61" s="196">
        <f t="shared" si="2"/>
        <v>0</v>
      </c>
      <c r="F61" s="196">
        <f t="shared" si="2"/>
        <v>0</v>
      </c>
      <c r="G61" s="196">
        <f t="shared" si="2"/>
        <v>0</v>
      </c>
      <c r="H61" s="196">
        <f t="shared" si="2"/>
        <v>0</v>
      </c>
    </row>
    <row r="62" spans="1:8">
      <c r="A62" s="267" t="s">
        <v>511</v>
      </c>
      <c r="B62" s="286">
        <v>0.75</v>
      </c>
      <c r="C62" s="286">
        <f>B62</f>
        <v>0.75</v>
      </c>
      <c r="D62" s="286">
        <f t="shared" ref="D62:H62" si="3">C62</f>
        <v>0.75</v>
      </c>
      <c r="E62" s="286">
        <f t="shared" si="3"/>
        <v>0.75</v>
      </c>
      <c r="F62" s="286">
        <f t="shared" si="3"/>
        <v>0.75</v>
      </c>
      <c r="G62" s="286">
        <f t="shared" si="3"/>
        <v>0.75</v>
      </c>
      <c r="H62" s="286">
        <f t="shared" si="3"/>
        <v>0.75</v>
      </c>
    </row>
    <row r="63" spans="1:8">
      <c r="A63" s="267" t="s">
        <v>512</v>
      </c>
      <c r="B63" s="286">
        <f t="shared" ref="B63:H63" si="4">1-B62</f>
        <v>0.25</v>
      </c>
      <c r="C63" s="286">
        <f t="shared" si="4"/>
        <v>0.25</v>
      </c>
      <c r="D63" s="286">
        <f t="shared" si="4"/>
        <v>0.25</v>
      </c>
      <c r="E63" s="286">
        <f t="shared" si="4"/>
        <v>0.25</v>
      </c>
      <c r="F63" s="286">
        <f t="shared" si="4"/>
        <v>0.25</v>
      </c>
      <c r="G63" s="286">
        <f t="shared" si="4"/>
        <v>0.25</v>
      </c>
      <c r="H63" s="286">
        <f t="shared" si="4"/>
        <v>0.25</v>
      </c>
    </row>
    <row r="64" spans="1:8">
      <c r="A64" s="267"/>
      <c r="B64" s="286"/>
      <c r="C64" s="286"/>
      <c r="D64" s="286"/>
      <c r="E64" s="286"/>
      <c r="F64" s="286"/>
      <c r="G64" s="286"/>
      <c r="H64" s="286"/>
    </row>
    <row r="65" spans="1:16">
      <c r="A65" s="267" t="s">
        <v>165</v>
      </c>
      <c r="B65" s="268">
        <f t="shared" ref="B65:H65" si="5">B33*B62</f>
        <v>32385</v>
      </c>
      <c r="C65" s="268">
        <f t="shared" si="5"/>
        <v>36433.125</v>
      </c>
      <c r="D65" s="268">
        <f t="shared" si="5"/>
        <v>40481.25</v>
      </c>
      <c r="E65" s="268">
        <f t="shared" si="5"/>
        <v>44529.375</v>
      </c>
      <c r="F65" s="268">
        <f t="shared" si="5"/>
        <v>48577.5</v>
      </c>
      <c r="G65" s="268">
        <f t="shared" si="5"/>
        <v>52625.625</v>
      </c>
      <c r="H65" s="268">
        <f t="shared" si="5"/>
        <v>56673.75</v>
      </c>
      <c r="I65" s="22">
        <f>B33-B65</f>
        <v>10795</v>
      </c>
      <c r="J65" s="22">
        <f t="shared" ref="J65:O65" si="6">C33-C65</f>
        <v>12144.375</v>
      </c>
      <c r="K65" s="22">
        <f t="shared" si="6"/>
        <v>13493.75</v>
      </c>
      <c r="L65" s="22">
        <f t="shared" si="6"/>
        <v>14843.125</v>
      </c>
      <c r="M65" s="22">
        <f t="shared" si="6"/>
        <v>16192.5</v>
      </c>
      <c r="N65" s="22">
        <f t="shared" si="6"/>
        <v>17541.875</v>
      </c>
      <c r="O65" s="22">
        <f t="shared" si="6"/>
        <v>18891.25</v>
      </c>
      <c r="P65" s="22"/>
    </row>
    <row r="66" spans="1:16">
      <c r="A66" s="93"/>
      <c r="B66" s="196"/>
      <c r="C66" s="196"/>
      <c r="D66" s="196"/>
      <c r="E66" s="196"/>
      <c r="F66" s="196"/>
      <c r="G66" s="196"/>
      <c r="H66" s="196"/>
    </row>
    <row r="67" spans="1:16">
      <c r="A67" s="93" t="s">
        <v>166</v>
      </c>
      <c r="B67" s="196"/>
      <c r="C67" s="196"/>
      <c r="D67" s="196"/>
      <c r="E67" s="196"/>
      <c r="F67" s="196"/>
      <c r="G67" s="196"/>
      <c r="H67" s="196"/>
    </row>
    <row r="68" spans="1:16">
      <c r="A68" s="91" t="str">
        <f t="shared" ref="A68:A89" si="7">A11</f>
        <v>Soybean</v>
      </c>
      <c r="B68" s="284">
        <f t="shared" ref="B68:B89" si="8">B11*$B$63</f>
        <v>6000</v>
      </c>
      <c r="C68" s="284">
        <f t="shared" ref="C68:C83" si="9">C11*$C$63</f>
        <v>6750</v>
      </c>
      <c r="D68" s="284">
        <f t="shared" ref="D68:D83" si="10">D11*$D$63</f>
        <v>7500</v>
      </c>
      <c r="E68" s="284">
        <f t="shared" ref="E68:E83" si="11">E11*$E$63</f>
        <v>8250</v>
      </c>
      <c r="F68" s="284">
        <f t="shared" ref="F68:F83" si="12">F11*$F$63</f>
        <v>9000</v>
      </c>
      <c r="G68" s="284">
        <f t="shared" ref="G68:G83" si="13">G11*$G$63</f>
        <v>9750</v>
      </c>
      <c r="H68" s="284">
        <f t="shared" ref="H68:H83" si="14">H11*$H$63</f>
        <v>10500</v>
      </c>
    </row>
    <row r="69" spans="1:16">
      <c r="A69" s="91" t="str">
        <f t="shared" si="7"/>
        <v>Red Gram/Tur</v>
      </c>
      <c r="B69" s="284">
        <f t="shared" si="8"/>
        <v>1995</v>
      </c>
      <c r="C69" s="284">
        <f t="shared" si="9"/>
        <v>2244.375</v>
      </c>
      <c r="D69" s="284">
        <f t="shared" si="10"/>
        <v>2493.75</v>
      </c>
      <c r="E69" s="284">
        <f t="shared" si="11"/>
        <v>2743.125</v>
      </c>
      <c r="F69" s="284">
        <f t="shared" si="12"/>
        <v>2992.5000000000005</v>
      </c>
      <c r="G69" s="284">
        <f t="shared" si="13"/>
        <v>3241.8750000000005</v>
      </c>
      <c r="H69" s="284">
        <f t="shared" si="14"/>
        <v>3491.2500000000009</v>
      </c>
    </row>
    <row r="70" spans="1:16" hidden="1">
      <c r="A70" s="91" t="str">
        <f t="shared" si="7"/>
        <v>Paddy/Rice</v>
      </c>
      <c r="B70" s="284">
        <f t="shared" si="8"/>
        <v>0</v>
      </c>
      <c r="C70" s="284">
        <f t="shared" si="9"/>
        <v>0</v>
      </c>
      <c r="D70" s="284">
        <f t="shared" si="10"/>
        <v>0</v>
      </c>
      <c r="E70" s="284">
        <f t="shared" si="11"/>
        <v>0</v>
      </c>
      <c r="F70" s="284">
        <f t="shared" si="12"/>
        <v>0</v>
      </c>
      <c r="G70" s="284">
        <f t="shared" si="13"/>
        <v>0</v>
      </c>
      <c r="H70" s="284">
        <f t="shared" si="14"/>
        <v>0</v>
      </c>
    </row>
    <row r="71" spans="1:16" hidden="1">
      <c r="A71" s="91" t="str">
        <f t="shared" si="7"/>
        <v>Green Gram/ Moong</v>
      </c>
      <c r="B71" s="284">
        <f t="shared" si="8"/>
        <v>0</v>
      </c>
      <c r="C71" s="284">
        <f t="shared" si="9"/>
        <v>0</v>
      </c>
      <c r="D71" s="284">
        <f t="shared" si="10"/>
        <v>0</v>
      </c>
      <c r="E71" s="284">
        <f t="shared" si="11"/>
        <v>0</v>
      </c>
      <c r="F71" s="284">
        <f t="shared" si="12"/>
        <v>0</v>
      </c>
      <c r="G71" s="284">
        <f t="shared" si="13"/>
        <v>0</v>
      </c>
      <c r="H71" s="284">
        <f t="shared" si="14"/>
        <v>0</v>
      </c>
    </row>
    <row r="72" spans="1:16" hidden="1">
      <c r="A72" s="91" t="str">
        <f t="shared" si="7"/>
        <v>Maize</v>
      </c>
      <c r="B72" s="284">
        <f t="shared" si="8"/>
        <v>0</v>
      </c>
      <c r="C72" s="284">
        <f t="shared" si="9"/>
        <v>0</v>
      </c>
      <c r="D72" s="284">
        <f t="shared" si="10"/>
        <v>0</v>
      </c>
      <c r="E72" s="284">
        <f t="shared" si="11"/>
        <v>0</v>
      </c>
      <c r="F72" s="284">
        <f t="shared" si="12"/>
        <v>0</v>
      </c>
      <c r="G72" s="284">
        <f t="shared" si="13"/>
        <v>0</v>
      </c>
      <c r="H72" s="284">
        <f t="shared" si="14"/>
        <v>0</v>
      </c>
    </row>
    <row r="73" spans="1:16" hidden="1">
      <c r="A73" s="91" t="str">
        <f t="shared" si="7"/>
        <v>Black Gram/Udid</v>
      </c>
      <c r="B73" s="284">
        <f t="shared" si="8"/>
        <v>0</v>
      </c>
      <c r="C73" s="284">
        <f t="shared" si="9"/>
        <v>0</v>
      </c>
      <c r="D73" s="284">
        <f t="shared" si="10"/>
        <v>0</v>
      </c>
      <c r="E73" s="284">
        <f t="shared" si="11"/>
        <v>0</v>
      </c>
      <c r="F73" s="284">
        <f t="shared" si="12"/>
        <v>0</v>
      </c>
      <c r="G73" s="284">
        <f t="shared" si="13"/>
        <v>0</v>
      </c>
      <c r="H73" s="284">
        <f t="shared" si="14"/>
        <v>0</v>
      </c>
    </row>
    <row r="74" spans="1:16" hidden="1">
      <c r="A74" s="91" t="str">
        <f t="shared" si="7"/>
        <v>Bajra</v>
      </c>
      <c r="B74" s="284">
        <f t="shared" si="8"/>
        <v>0</v>
      </c>
      <c r="C74" s="284">
        <f t="shared" si="9"/>
        <v>0</v>
      </c>
      <c r="D74" s="284">
        <f t="shared" si="10"/>
        <v>0</v>
      </c>
      <c r="E74" s="284">
        <f t="shared" si="11"/>
        <v>0</v>
      </c>
      <c r="F74" s="284">
        <f t="shared" si="12"/>
        <v>0</v>
      </c>
      <c r="G74" s="284">
        <f t="shared" si="13"/>
        <v>0</v>
      </c>
      <c r="H74" s="284">
        <f t="shared" si="14"/>
        <v>0</v>
      </c>
    </row>
    <row r="75" spans="1:16" hidden="1">
      <c r="A75" s="91" t="str">
        <f t="shared" si="7"/>
        <v>Jawar</v>
      </c>
      <c r="B75" s="284">
        <f t="shared" si="8"/>
        <v>0</v>
      </c>
      <c r="C75" s="284">
        <f t="shared" si="9"/>
        <v>0</v>
      </c>
      <c r="D75" s="284">
        <f t="shared" si="10"/>
        <v>0</v>
      </c>
      <c r="E75" s="284">
        <f t="shared" si="11"/>
        <v>0</v>
      </c>
      <c r="F75" s="284">
        <f t="shared" si="12"/>
        <v>0</v>
      </c>
      <c r="G75" s="284">
        <f t="shared" si="13"/>
        <v>0</v>
      </c>
      <c r="H75" s="284">
        <f t="shared" si="14"/>
        <v>0</v>
      </c>
    </row>
    <row r="76" spans="1:16" hidden="1">
      <c r="A76" s="91" t="str">
        <f t="shared" si="7"/>
        <v>Sunflower</v>
      </c>
      <c r="B76" s="284">
        <f t="shared" si="8"/>
        <v>0</v>
      </c>
      <c r="C76" s="284">
        <f t="shared" si="9"/>
        <v>0</v>
      </c>
      <c r="D76" s="284">
        <f t="shared" si="10"/>
        <v>0</v>
      </c>
      <c r="E76" s="284">
        <f t="shared" si="11"/>
        <v>0</v>
      </c>
      <c r="F76" s="284">
        <f t="shared" si="12"/>
        <v>0</v>
      </c>
      <c r="G76" s="284">
        <f t="shared" si="13"/>
        <v>0</v>
      </c>
      <c r="H76" s="284">
        <f t="shared" si="14"/>
        <v>0</v>
      </c>
    </row>
    <row r="77" spans="1:16">
      <c r="A77" s="91" t="str">
        <f t="shared" si="7"/>
        <v>Wheat</v>
      </c>
      <c r="B77" s="284">
        <f t="shared" si="8"/>
        <v>900</v>
      </c>
      <c r="C77" s="284">
        <f t="shared" si="9"/>
        <v>1012.5</v>
      </c>
      <c r="D77" s="284">
        <f t="shared" si="10"/>
        <v>1125</v>
      </c>
      <c r="E77" s="284">
        <f t="shared" si="11"/>
        <v>1237.5</v>
      </c>
      <c r="F77" s="284">
        <f t="shared" si="12"/>
        <v>1350.0000000000002</v>
      </c>
      <c r="G77" s="284">
        <f t="shared" si="13"/>
        <v>1462.5000000000002</v>
      </c>
      <c r="H77" s="284">
        <f t="shared" si="14"/>
        <v>1575.0000000000005</v>
      </c>
    </row>
    <row r="78" spans="1:16">
      <c r="A78" s="91" t="str">
        <f t="shared" si="7"/>
        <v>Bengal Gram/Channa</v>
      </c>
      <c r="B78" s="284">
        <f t="shared" si="8"/>
        <v>1900</v>
      </c>
      <c r="C78" s="284">
        <f t="shared" si="9"/>
        <v>2137.5</v>
      </c>
      <c r="D78" s="284">
        <f t="shared" si="10"/>
        <v>2375</v>
      </c>
      <c r="E78" s="284">
        <f t="shared" si="11"/>
        <v>2612.5</v>
      </c>
      <c r="F78" s="284">
        <f t="shared" si="12"/>
        <v>2850.0000000000005</v>
      </c>
      <c r="G78" s="284">
        <f t="shared" si="13"/>
        <v>3087.5000000000005</v>
      </c>
      <c r="H78" s="284">
        <f t="shared" si="14"/>
        <v>3325.0000000000009</v>
      </c>
    </row>
    <row r="79" spans="1:16" hidden="1">
      <c r="A79" s="91" t="str">
        <f t="shared" si="7"/>
        <v>Jawar</v>
      </c>
      <c r="B79" s="284">
        <f t="shared" si="8"/>
        <v>0</v>
      </c>
      <c r="C79" s="284">
        <f t="shared" si="9"/>
        <v>0</v>
      </c>
      <c r="D79" s="284">
        <f t="shared" si="10"/>
        <v>0</v>
      </c>
      <c r="E79" s="284">
        <f t="shared" si="11"/>
        <v>0</v>
      </c>
      <c r="F79" s="284">
        <f t="shared" si="12"/>
        <v>0</v>
      </c>
      <c r="G79" s="284">
        <f t="shared" si="13"/>
        <v>0</v>
      </c>
      <c r="H79" s="284">
        <f t="shared" si="14"/>
        <v>0</v>
      </c>
    </row>
    <row r="80" spans="1:16" hidden="1">
      <c r="A80" s="91" t="str">
        <f t="shared" si="7"/>
        <v>Maize</v>
      </c>
      <c r="B80" s="284">
        <f t="shared" si="8"/>
        <v>0</v>
      </c>
      <c r="C80" s="284">
        <f t="shared" si="9"/>
        <v>0</v>
      </c>
      <c r="D80" s="284">
        <f t="shared" si="10"/>
        <v>0</v>
      </c>
      <c r="E80" s="284">
        <f t="shared" si="11"/>
        <v>0</v>
      </c>
      <c r="F80" s="284">
        <f t="shared" si="12"/>
        <v>0</v>
      </c>
      <c r="G80" s="284">
        <f t="shared" si="13"/>
        <v>0</v>
      </c>
      <c r="H80" s="284">
        <f t="shared" si="14"/>
        <v>0</v>
      </c>
    </row>
    <row r="81" spans="1:12" hidden="1">
      <c r="A81" s="91" t="str">
        <f t="shared" si="7"/>
        <v>Safflower</v>
      </c>
      <c r="B81" s="284">
        <f t="shared" si="8"/>
        <v>0</v>
      </c>
      <c r="C81" s="284">
        <f t="shared" si="9"/>
        <v>0</v>
      </c>
      <c r="D81" s="284">
        <f t="shared" si="10"/>
        <v>0</v>
      </c>
      <c r="E81" s="284">
        <f t="shared" si="11"/>
        <v>0</v>
      </c>
      <c r="F81" s="284">
        <f t="shared" si="12"/>
        <v>0</v>
      </c>
      <c r="G81" s="284">
        <f t="shared" si="13"/>
        <v>0</v>
      </c>
      <c r="H81" s="284">
        <f t="shared" si="14"/>
        <v>0</v>
      </c>
    </row>
    <row r="82" spans="1:12" hidden="1">
      <c r="A82" s="91">
        <f t="shared" si="7"/>
        <v>0</v>
      </c>
      <c r="B82" s="284">
        <f t="shared" si="8"/>
        <v>0</v>
      </c>
      <c r="C82" s="284">
        <f t="shared" si="9"/>
        <v>0</v>
      </c>
      <c r="D82" s="284">
        <f t="shared" si="10"/>
        <v>0</v>
      </c>
      <c r="E82" s="284">
        <f t="shared" si="11"/>
        <v>0</v>
      </c>
      <c r="F82" s="284">
        <f t="shared" si="12"/>
        <v>0</v>
      </c>
      <c r="G82" s="284">
        <f t="shared" si="13"/>
        <v>0</v>
      </c>
      <c r="H82" s="284">
        <f t="shared" si="14"/>
        <v>0</v>
      </c>
    </row>
    <row r="83" spans="1:12" hidden="1">
      <c r="A83" s="91">
        <f t="shared" si="7"/>
        <v>0</v>
      </c>
      <c r="B83" s="284">
        <f t="shared" si="8"/>
        <v>0</v>
      </c>
      <c r="C83" s="284">
        <f t="shared" si="9"/>
        <v>0</v>
      </c>
      <c r="D83" s="284">
        <f t="shared" si="10"/>
        <v>0</v>
      </c>
      <c r="E83" s="284">
        <f t="shared" si="11"/>
        <v>0</v>
      </c>
      <c r="F83" s="284">
        <f t="shared" si="12"/>
        <v>0</v>
      </c>
      <c r="G83" s="284">
        <f t="shared" si="13"/>
        <v>0</v>
      </c>
      <c r="H83" s="284">
        <f t="shared" si="14"/>
        <v>0</v>
      </c>
    </row>
    <row r="84" spans="1:12" hidden="1">
      <c r="A84" s="91">
        <f t="shared" si="7"/>
        <v>0</v>
      </c>
      <c r="B84" s="284">
        <f t="shared" si="8"/>
        <v>0</v>
      </c>
      <c r="C84" s="284">
        <f t="shared" ref="C84:H89" si="15">C27*$B$63</f>
        <v>0</v>
      </c>
      <c r="D84" s="284">
        <f t="shared" si="15"/>
        <v>0</v>
      </c>
      <c r="E84" s="284">
        <f t="shared" si="15"/>
        <v>0</v>
      </c>
      <c r="F84" s="284">
        <f t="shared" si="15"/>
        <v>0</v>
      </c>
      <c r="G84" s="284">
        <f t="shared" si="15"/>
        <v>0</v>
      </c>
      <c r="H84" s="284">
        <f t="shared" si="15"/>
        <v>0</v>
      </c>
    </row>
    <row r="85" spans="1:12" hidden="1">
      <c r="A85" s="91" t="str">
        <f t="shared" si="7"/>
        <v>Groundnut</v>
      </c>
      <c r="B85" s="284">
        <f t="shared" si="8"/>
        <v>0</v>
      </c>
      <c r="C85" s="284">
        <f t="shared" si="15"/>
        <v>0</v>
      </c>
      <c r="D85" s="284">
        <f t="shared" si="15"/>
        <v>0</v>
      </c>
      <c r="E85" s="284">
        <f t="shared" si="15"/>
        <v>0</v>
      </c>
      <c r="F85" s="284">
        <f t="shared" si="15"/>
        <v>0</v>
      </c>
      <c r="G85" s="284">
        <f t="shared" si="15"/>
        <v>0</v>
      </c>
      <c r="H85" s="284">
        <f t="shared" si="15"/>
        <v>0</v>
      </c>
    </row>
    <row r="86" spans="1:12" hidden="1">
      <c r="A86" s="91">
        <f t="shared" si="7"/>
        <v>0</v>
      </c>
      <c r="B86" s="284">
        <f t="shared" si="8"/>
        <v>0</v>
      </c>
      <c r="C86" s="284">
        <f t="shared" si="15"/>
        <v>0</v>
      </c>
      <c r="D86" s="284">
        <f t="shared" si="15"/>
        <v>0</v>
      </c>
      <c r="E86" s="284">
        <f t="shared" si="15"/>
        <v>0</v>
      </c>
      <c r="F86" s="284">
        <f t="shared" si="15"/>
        <v>0</v>
      </c>
      <c r="G86" s="284">
        <f t="shared" si="15"/>
        <v>0</v>
      </c>
      <c r="H86" s="284">
        <f t="shared" si="15"/>
        <v>0</v>
      </c>
    </row>
    <row r="87" spans="1:12" hidden="1">
      <c r="A87" s="91">
        <f t="shared" si="7"/>
        <v>0</v>
      </c>
      <c r="B87" s="284">
        <f t="shared" si="8"/>
        <v>0</v>
      </c>
      <c r="C87" s="284">
        <f t="shared" si="15"/>
        <v>0</v>
      </c>
      <c r="D87" s="284">
        <f t="shared" si="15"/>
        <v>0</v>
      </c>
      <c r="E87" s="284">
        <f t="shared" si="15"/>
        <v>0</v>
      </c>
      <c r="F87" s="284">
        <f t="shared" si="15"/>
        <v>0</v>
      </c>
      <c r="G87" s="284">
        <f t="shared" si="15"/>
        <v>0</v>
      </c>
      <c r="H87" s="284">
        <f t="shared" si="15"/>
        <v>0</v>
      </c>
    </row>
    <row r="88" spans="1:12" hidden="1">
      <c r="A88" s="91">
        <f t="shared" si="7"/>
        <v>0</v>
      </c>
      <c r="B88" s="284">
        <f t="shared" si="8"/>
        <v>0</v>
      </c>
      <c r="C88" s="284">
        <f t="shared" si="15"/>
        <v>0</v>
      </c>
      <c r="D88" s="284">
        <f t="shared" si="15"/>
        <v>0</v>
      </c>
      <c r="E88" s="284">
        <f t="shared" si="15"/>
        <v>0</v>
      </c>
      <c r="F88" s="284">
        <f t="shared" si="15"/>
        <v>0</v>
      </c>
      <c r="G88" s="284">
        <f t="shared" si="15"/>
        <v>0</v>
      </c>
      <c r="H88" s="284">
        <f t="shared" si="15"/>
        <v>0</v>
      </c>
    </row>
    <row r="89" spans="1:12" hidden="1">
      <c r="A89" s="91">
        <f t="shared" si="7"/>
        <v>0</v>
      </c>
      <c r="B89" s="284">
        <f t="shared" si="8"/>
        <v>0</v>
      </c>
      <c r="C89" s="284">
        <f t="shared" si="15"/>
        <v>0</v>
      </c>
      <c r="D89" s="284">
        <f t="shared" si="15"/>
        <v>0</v>
      </c>
      <c r="E89" s="284">
        <f t="shared" si="15"/>
        <v>0</v>
      </c>
      <c r="F89" s="284">
        <f t="shared" si="15"/>
        <v>0</v>
      </c>
      <c r="G89" s="284">
        <f t="shared" si="15"/>
        <v>0</v>
      </c>
      <c r="H89" s="284">
        <f t="shared" si="15"/>
        <v>0</v>
      </c>
    </row>
    <row r="90" spans="1:12" hidden="1">
      <c r="A90" s="91"/>
      <c r="B90" s="284"/>
      <c r="C90" s="284"/>
      <c r="D90" s="284"/>
      <c r="E90" s="284"/>
      <c r="F90" s="284"/>
      <c r="G90" s="284"/>
      <c r="H90" s="284"/>
      <c r="J90" s="306"/>
      <c r="K90" s="306"/>
      <c r="L90" s="306"/>
    </row>
    <row r="91" spans="1:12" hidden="1">
      <c r="A91" s="91" t="str">
        <f t="shared" ref="A91:A109" si="16">A34</f>
        <v>Fruit  &amp; Vegetables Crop Production Details</v>
      </c>
      <c r="B91" s="284"/>
      <c r="C91" s="284"/>
      <c r="D91" s="284"/>
      <c r="E91" s="284"/>
      <c r="F91" s="284"/>
      <c r="G91" s="284"/>
      <c r="H91" s="284"/>
      <c r="J91" s="306"/>
      <c r="K91" s="306"/>
      <c r="L91" s="306"/>
    </row>
    <row r="92" spans="1:12" hidden="1">
      <c r="A92" s="91" t="str">
        <f t="shared" si="16"/>
        <v>Onion</v>
      </c>
      <c r="B92" s="284">
        <f t="shared" ref="B92:H101" si="17">B35</f>
        <v>0</v>
      </c>
      <c r="C92" s="284">
        <f t="shared" si="17"/>
        <v>0</v>
      </c>
      <c r="D92" s="284">
        <f t="shared" si="17"/>
        <v>0</v>
      </c>
      <c r="E92" s="284">
        <f t="shared" si="17"/>
        <v>0</v>
      </c>
      <c r="F92" s="284">
        <f t="shared" si="17"/>
        <v>0</v>
      </c>
      <c r="G92" s="284">
        <f t="shared" si="17"/>
        <v>0</v>
      </c>
      <c r="H92" s="284">
        <f t="shared" si="17"/>
        <v>0</v>
      </c>
      <c r="J92" s="306"/>
      <c r="K92" s="306"/>
      <c r="L92" s="306"/>
    </row>
    <row r="93" spans="1:12" hidden="1">
      <c r="A93" s="91" t="str">
        <f t="shared" si="16"/>
        <v>Tomato</v>
      </c>
      <c r="B93" s="284">
        <f t="shared" si="17"/>
        <v>0</v>
      </c>
      <c r="C93" s="284">
        <f t="shared" si="17"/>
        <v>0</v>
      </c>
      <c r="D93" s="284">
        <f t="shared" si="17"/>
        <v>0</v>
      </c>
      <c r="E93" s="284">
        <f t="shared" si="17"/>
        <v>0</v>
      </c>
      <c r="F93" s="284">
        <f t="shared" si="17"/>
        <v>0</v>
      </c>
      <c r="G93" s="284">
        <f t="shared" si="17"/>
        <v>0</v>
      </c>
      <c r="H93" s="284">
        <f t="shared" si="17"/>
        <v>0</v>
      </c>
      <c r="J93" s="306"/>
      <c r="K93" s="306"/>
      <c r="L93" s="306"/>
    </row>
    <row r="94" spans="1:12" hidden="1">
      <c r="A94" s="91" t="str">
        <f t="shared" si="16"/>
        <v>Okra</v>
      </c>
      <c r="B94" s="284">
        <f t="shared" si="17"/>
        <v>0</v>
      </c>
      <c r="C94" s="284">
        <f t="shared" si="17"/>
        <v>0</v>
      </c>
      <c r="D94" s="284">
        <f t="shared" si="17"/>
        <v>0</v>
      </c>
      <c r="E94" s="284">
        <f t="shared" si="17"/>
        <v>0</v>
      </c>
      <c r="F94" s="284">
        <f t="shared" si="17"/>
        <v>0</v>
      </c>
      <c r="G94" s="284">
        <f t="shared" si="17"/>
        <v>0</v>
      </c>
      <c r="H94" s="284">
        <f t="shared" si="17"/>
        <v>0</v>
      </c>
      <c r="J94" s="306"/>
      <c r="K94" s="306"/>
      <c r="L94" s="306"/>
    </row>
    <row r="95" spans="1:12" hidden="1">
      <c r="A95" s="91" t="str">
        <f t="shared" si="16"/>
        <v>Chilli</v>
      </c>
      <c r="B95" s="284">
        <f t="shared" si="17"/>
        <v>0</v>
      </c>
      <c r="C95" s="284">
        <f t="shared" si="17"/>
        <v>0</v>
      </c>
      <c r="D95" s="284">
        <f t="shared" si="17"/>
        <v>0</v>
      </c>
      <c r="E95" s="284">
        <f t="shared" si="17"/>
        <v>0</v>
      </c>
      <c r="F95" s="284">
        <f t="shared" si="17"/>
        <v>0</v>
      </c>
      <c r="G95" s="284">
        <f t="shared" si="17"/>
        <v>0</v>
      </c>
      <c r="H95" s="284">
        <f t="shared" si="17"/>
        <v>0</v>
      </c>
      <c r="J95" s="306"/>
      <c r="K95" s="306"/>
      <c r="L95" s="306"/>
    </row>
    <row r="96" spans="1:12" hidden="1">
      <c r="A96" s="91" t="str">
        <f t="shared" si="16"/>
        <v>Potato</v>
      </c>
      <c r="B96" s="284">
        <f t="shared" si="17"/>
        <v>0</v>
      </c>
      <c r="C96" s="284">
        <f t="shared" si="17"/>
        <v>0</v>
      </c>
      <c r="D96" s="284">
        <f t="shared" si="17"/>
        <v>0</v>
      </c>
      <c r="E96" s="284">
        <f t="shared" si="17"/>
        <v>0</v>
      </c>
      <c r="F96" s="284">
        <f t="shared" si="17"/>
        <v>0</v>
      </c>
      <c r="G96" s="284">
        <f t="shared" si="17"/>
        <v>0</v>
      </c>
      <c r="H96" s="284">
        <f t="shared" si="17"/>
        <v>0</v>
      </c>
      <c r="J96" s="306"/>
      <c r="K96" s="306"/>
      <c r="L96" s="306"/>
    </row>
    <row r="97" spans="1:12" hidden="1">
      <c r="A97" s="91">
        <f t="shared" si="16"/>
        <v>0</v>
      </c>
      <c r="B97" s="284">
        <f t="shared" si="17"/>
        <v>0</v>
      </c>
      <c r="C97" s="284">
        <f t="shared" si="17"/>
        <v>0</v>
      </c>
      <c r="D97" s="284">
        <f t="shared" si="17"/>
        <v>0</v>
      </c>
      <c r="E97" s="284">
        <f t="shared" si="17"/>
        <v>0</v>
      </c>
      <c r="F97" s="284">
        <f t="shared" si="17"/>
        <v>0</v>
      </c>
      <c r="G97" s="284">
        <f t="shared" si="17"/>
        <v>0</v>
      </c>
      <c r="H97" s="284">
        <f t="shared" si="17"/>
        <v>0</v>
      </c>
      <c r="J97" s="306"/>
      <c r="K97" s="306"/>
      <c r="L97" s="306"/>
    </row>
    <row r="98" spans="1:12" hidden="1">
      <c r="A98" s="91">
        <f t="shared" si="16"/>
        <v>0</v>
      </c>
      <c r="B98" s="284">
        <f t="shared" si="17"/>
        <v>0</v>
      </c>
      <c r="C98" s="284">
        <f t="shared" si="17"/>
        <v>0</v>
      </c>
      <c r="D98" s="284">
        <f t="shared" si="17"/>
        <v>0</v>
      </c>
      <c r="E98" s="284">
        <f t="shared" si="17"/>
        <v>0</v>
      </c>
      <c r="F98" s="284">
        <f t="shared" si="17"/>
        <v>0</v>
      </c>
      <c r="G98" s="284">
        <f t="shared" si="17"/>
        <v>0</v>
      </c>
      <c r="H98" s="284">
        <f t="shared" si="17"/>
        <v>0</v>
      </c>
      <c r="J98" s="306"/>
      <c r="K98" s="306"/>
      <c r="L98" s="306"/>
    </row>
    <row r="99" spans="1:12" hidden="1">
      <c r="A99" s="91">
        <f t="shared" si="16"/>
        <v>0</v>
      </c>
      <c r="B99" s="284">
        <f t="shared" si="17"/>
        <v>0</v>
      </c>
      <c r="C99" s="284">
        <f t="shared" si="17"/>
        <v>0</v>
      </c>
      <c r="D99" s="284">
        <f t="shared" si="17"/>
        <v>0</v>
      </c>
      <c r="E99" s="284">
        <f t="shared" si="17"/>
        <v>0</v>
      </c>
      <c r="F99" s="284">
        <f t="shared" si="17"/>
        <v>0</v>
      </c>
      <c r="G99" s="284">
        <f t="shared" si="17"/>
        <v>0</v>
      </c>
      <c r="H99" s="284">
        <f t="shared" si="17"/>
        <v>0</v>
      </c>
      <c r="J99" s="306"/>
      <c r="K99" s="306"/>
      <c r="L99" s="306"/>
    </row>
    <row r="100" spans="1:12" hidden="1">
      <c r="A100" s="91">
        <f t="shared" si="16"/>
        <v>0</v>
      </c>
      <c r="B100" s="284">
        <f t="shared" si="17"/>
        <v>0</v>
      </c>
      <c r="C100" s="284">
        <f t="shared" si="17"/>
        <v>0</v>
      </c>
      <c r="D100" s="284">
        <f t="shared" si="17"/>
        <v>0</v>
      </c>
      <c r="E100" s="284">
        <f t="shared" si="17"/>
        <v>0</v>
      </c>
      <c r="F100" s="284">
        <f t="shared" si="17"/>
        <v>0</v>
      </c>
      <c r="G100" s="284">
        <f t="shared" si="17"/>
        <v>0</v>
      </c>
      <c r="H100" s="284">
        <f t="shared" si="17"/>
        <v>0</v>
      </c>
      <c r="J100" s="306"/>
      <c r="K100" s="306"/>
      <c r="L100" s="306"/>
    </row>
    <row r="101" spans="1:12" hidden="1">
      <c r="A101" s="91" t="str">
        <f t="shared" si="16"/>
        <v>Onion</v>
      </c>
      <c r="B101" s="284">
        <f t="shared" si="17"/>
        <v>0</v>
      </c>
      <c r="C101" s="284">
        <f t="shared" si="17"/>
        <v>0</v>
      </c>
      <c r="D101" s="284">
        <f t="shared" si="17"/>
        <v>0</v>
      </c>
      <c r="E101" s="284">
        <f t="shared" si="17"/>
        <v>0</v>
      </c>
      <c r="F101" s="284">
        <f t="shared" si="17"/>
        <v>0</v>
      </c>
      <c r="G101" s="284">
        <f t="shared" si="17"/>
        <v>0</v>
      </c>
      <c r="H101" s="284">
        <f t="shared" si="17"/>
        <v>0</v>
      </c>
      <c r="J101" s="306"/>
      <c r="K101" s="306"/>
      <c r="L101" s="306"/>
    </row>
    <row r="102" spans="1:12" hidden="1">
      <c r="A102" s="91" t="str">
        <f t="shared" si="16"/>
        <v>Tomato</v>
      </c>
      <c r="B102" s="284">
        <f t="shared" ref="B102:H109" si="18">B45</f>
        <v>0</v>
      </c>
      <c r="C102" s="284">
        <f t="shared" si="18"/>
        <v>0</v>
      </c>
      <c r="D102" s="284">
        <f t="shared" si="18"/>
        <v>0</v>
      </c>
      <c r="E102" s="284">
        <f t="shared" si="18"/>
        <v>0</v>
      </c>
      <c r="F102" s="284">
        <f t="shared" si="18"/>
        <v>0</v>
      </c>
      <c r="G102" s="284">
        <f t="shared" si="18"/>
        <v>0</v>
      </c>
      <c r="H102" s="284">
        <f t="shared" si="18"/>
        <v>0</v>
      </c>
      <c r="J102" s="306"/>
      <c r="K102" s="306"/>
      <c r="L102" s="306"/>
    </row>
    <row r="103" spans="1:12" hidden="1">
      <c r="A103" s="91" t="str">
        <f t="shared" si="16"/>
        <v>Okra</v>
      </c>
      <c r="B103" s="284">
        <f t="shared" si="18"/>
        <v>0</v>
      </c>
      <c r="C103" s="284">
        <f t="shared" si="18"/>
        <v>0</v>
      </c>
      <c r="D103" s="284">
        <f t="shared" si="18"/>
        <v>0</v>
      </c>
      <c r="E103" s="284">
        <f t="shared" si="18"/>
        <v>0</v>
      </c>
      <c r="F103" s="284">
        <f t="shared" si="18"/>
        <v>0</v>
      </c>
      <c r="G103" s="284">
        <f t="shared" si="18"/>
        <v>0</v>
      </c>
      <c r="H103" s="284">
        <f t="shared" si="18"/>
        <v>0</v>
      </c>
      <c r="J103" s="306"/>
      <c r="K103" s="306"/>
      <c r="L103" s="306"/>
    </row>
    <row r="104" spans="1:12" hidden="1">
      <c r="A104" s="91" t="str">
        <f t="shared" si="16"/>
        <v>Chilli</v>
      </c>
      <c r="B104" s="284">
        <f t="shared" si="18"/>
        <v>0</v>
      </c>
      <c r="C104" s="284">
        <f t="shared" si="18"/>
        <v>0</v>
      </c>
      <c r="D104" s="284">
        <f t="shared" si="18"/>
        <v>0</v>
      </c>
      <c r="E104" s="284">
        <f t="shared" si="18"/>
        <v>0</v>
      </c>
      <c r="F104" s="284">
        <f t="shared" si="18"/>
        <v>0</v>
      </c>
      <c r="G104" s="284">
        <f t="shared" si="18"/>
        <v>0</v>
      </c>
      <c r="H104" s="284">
        <f t="shared" si="18"/>
        <v>0</v>
      </c>
      <c r="J104" s="306"/>
      <c r="K104" s="306"/>
      <c r="L104" s="306"/>
    </row>
    <row r="105" spans="1:12" hidden="1">
      <c r="A105" s="91" t="str">
        <f t="shared" si="16"/>
        <v>Brinjal</v>
      </c>
      <c r="B105" s="284">
        <f t="shared" si="18"/>
        <v>0</v>
      </c>
      <c r="C105" s="284">
        <f t="shared" si="18"/>
        <v>0</v>
      </c>
      <c r="D105" s="284">
        <f t="shared" si="18"/>
        <v>0</v>
      </c>
      <c r="E105" s="284">
        <f t="shared" si="18"/>
        <v>0</v>
      </c>
      <c r="F105" s="284">
        <f t="shared" si="18"/>
        <v>0</v>
      </c>
      <c r="G105" s="284">
        <f t="shared" si="18"/>
        <v>0</v>
      </c>
      <c r="H105" s="284">
        <f t="shared" si="18"/>
        <v>0</v>
      </c>
      <c r="J105" s="306"/>
      <c r="K105" s="306"/>
      <c r="L105" s="306"/>
    </row>
    <row r="106" spans="1:12" hidden="1">
      <c r="A106" s="91">
        <f t="shared" si="16"/>
        <v>0</v>
      </c>
      <c r="B106" s="284">
        <f t="shared" si="18"/>
        <v>0</v>
      </c>
      <c r="C106" s="284">
        <f t="shared" si="18"/>
        <v>0</v>
      </c>
      <c r="D106" s="284">
        <f t="shared" si="18"/>
        <v>0</v>
      </c>
      <c r="E106" s="284">
        <f t="shared" si="18"/>
        <v>0</v>
      </c>
      <c r="F106" s="284">
        <f t="shared" si="18"/>
        <v>0</v>
      </c>
      <c r="G106" s="284">
        <f t="shared" si="18"/>
        <v>0</v>
      </c>
      <c r="H106" s="284">
        <f t="shared" si="18"/>
        <v>0</v>
      </c>
      <c r="J106" s="306"/>
      <c r="K106" s="306"/>
      <c r="L106" s="306"/>
    </row>
    <row r="107" spans="1:12" hidden="1">
      <c r="A107" s="91">
        <f t="shared" si="16"/>
        <v>0</v>
      </c>
      <c r="B107" s="284">
        <f t="shared" si="18"/>
        <v>0</v>
      </c>
      <c r="C107" s="284">
        <f t="shared" si="18"/>
        <v>0</v>
      </c>
      <c r="D107" s="284">
        <f t="shared" si="18"/>
        <v>0</v>
      </c>
      <c r="E107" s="284">
        <f t="shared" si="18"/>
        <v>0</v>
      </c>
      <c r="F107" s="284">
        <f t="shared" si="18"/>
        <v>0</v>
      </c>
      <c r="G107" s="284">
        <f t="shared" si="18"/>
        <v>0</v>
      </c>
      <c r="H107" s="284">
        <f t="shared" si="18"/>
        <v>0</v>
      </c>
      <c r="J107" s="306"/>
      <c r="K107" s="306"/>
      <c r="L107" s="306"/>
    </row>
    <row r="108" spans="1:12" hidden="1">
      <c r="A108" s="91">
        <f t="shared" si="16"/>
        <v>0</v>
      </c>
      <c r="B108" s="284">
        <f t="shared" si="18"/>
        <v>0</v>
      </c>
      <c r="C108" s="284">
        <f t="shared" si="18"/>
        <v>0</v>
      </c>
      <c r="D108" s="284">
        <f t="shared" si="18"/>
        <v>0</v>
      </c>
      <c r="E108" s="284">
        <f t="shared" si="18"/>
        <v>0</v>
      </c>
      <c r="F108" s="284">
        <f t="shared" si="18"/>
        <v>0</v>
      </c>
      <c r="G108" s="284">
        <f t="shared" si="18"/>
        <v>0</v>
      </c>
      <c r="H108" s="284">
        <f t="shared" si="18"/>
        <v>0</v>
      </c>
      <c r="J108" s="306"/>
      <c r="K108" s="306"/>
      <c r="L108" s="306"/>
    </row>
    <row r="109" spans="1:12" hidden="1">
      <c r="A109" s="91">
        <f t="shared" si="16"/>
        <v>0</v>
      </c>
      <c r="B109" s="284">
        <f t="shared" si="18"/>
        <v>0</v>
      </c>
      <c r="C109" s="284">
        <f t="shared" si="18"/>
        <v>0</v>
      </c>
      <c r="D109" s="284">
        <f t="shared" si="18"/>
        <v>0</v>
      </c>
      <c r="E109" s="284">
        <f t="shared" si="18"/>
        <v>0</v>
      </c>
      <c r="F109" s="284">
        <f t="shared" si="18"/>
        <v>0</v>
      </c>
      <c r="G109" s="284">
        <f t="shared" si="18"/>
        <v>0</v>
      </c>
      <c r="H109" s="284">
        <f t="shared" si="18"/>
        <v>0</v>
      </c>
      <c r="J109" s="306"/>
      <c r="K109" s="306"/>
      <c r="L109" s="306"/>
    </row>
    <row r="110" spans="1:12" hidden="1">
      <c r="A110" s="91">
        <f t="shared" ref="A110:A113" si="19">A53</f>
        <v>0</v>
      </c>
      <c r="B110" s="284"/>
      <c r="C110" s="284"/>
      <c r="D110" s="284"/>
      <c r="E110" s="284"/>
      <c r="F110" s="284"/>
      <c r="G110" s="284"/>
      <c r="H110" s="284"/>
      <c r="J110" s="306"/>
      <c r="K110" s="306"/>
      <c r="L110" s="306"/>
    </row>
    <row r="111" spans="1:12" hidden="1">
      <c r="A111" s="91">
        <f t="shared" si="19"/>
        <v>0</v>
      </c>
      <c r="B111" s="284"/>
      <c r="C111" s="284"/>
      <c r="D111" s="284"/>
      <c r="E111" s="284"/>
      <c r="F111" s="284"/>
      <c r="G111" s="284"/>
      <c r="H111" s="284"/>
      <c r="J111" s="306"/>
      <c r="K111" s="306"/>
      <c r="L111" s="306"/>
    </row>
    <row r="112" spans="1:12" hidden="1">
      <c r="A112" s="91">
        <f t="shared" si="19"/>
        <v>0</v>
      </c>
      <c r="B112" s="284"/>
      <c r="C112" s="284"/>
      <c r="D112" s="284"/>
      <c r="E112" s="284"/>
      <c r="F112" s="284"/>
      <c r="G112" s="284"/>
      <c r="H112" s="284"/>
      <c r="J112" s="306"/>
      <c r="K112" s="306"/>
      <c r="L112" s="306"/>
    </row>
    <row r="113" spans="1:12" hidden="1">
      <c r="A113" s="91" t="str">
        <f t="shared" si="19"/>
        <v>Pomegranate</v>
      </c>
      <c r="B113" s="284">
        <f t="shared" ref="B113:H116" si="20">B56</f>
        <v>0</v>
      </c>
      <c r="C113" s="284">
        <f t="shared" si="20"/>
        <v>0</v>
      </c>
      <c r="D113" s="284">
        <f t="shared" si="20"/>
        <v>0</v>
      </c>
      <c r="E113" s="284">
        <f t="shared" si="20"/>
        <v>0</v>
      </c>
      <c r="F113" s="284">
        <f t="shared" si="20"/>
        <v>0</v>
      </c>
      <c r="G113" s="284">
        <f t="shared" si="20"/>
        <v>0</v>
      </c>
      <c r="H113" s="284">
        <f t="shared" si="20"/>
        <v>0</v>
      </c>
      <c r="J113" s="306"/>
      <c r="K113" s="306"/>
      <c r="L113" s="306"/>
    </row>
    <row r="114" spans="1:12" hidden="1">
      <c r="A114" s="91" t="str">
        <f>A57</f>
        <v>Custard Apple</v>
      </c>
      <c r="B114" s="284">
        <f t="shared" si="20"/>
        <v>0</v>
      </c>
      <c r="C114" s="284">
        <f t="shared" si="20"/>
        <v>0</v>
      </c>
      <c r="D114" s="284">
        <f t="shared" si="20"/>
        <v>0</v>
      </c>
      <c r="E114" s="284">
        <f t="shared" si="20"/>
        <v>0</v>
      </c>
      <c r="F114" s="284">
        <f t="shared" si="20"/>
        <v>0</v>
      </c>
      <c r="G114" s="284">
        <f t="shared" si="20"/>
        <v>0</v>
      </c>
      <c r="H114" s="284">
        <f t="shared" si="20"/>
        <v>0</v>
      </c>
      <c r="J114" s="306"/>
      <c r="K114" s="306"/>
      <c r="L114" s="306"/>
    </row>
    <row r="115" spans="1:12" hidden="1">
      <c r="A115" s="91" t="str">
        <f>A58</f>
        <v>Guava</v>
      </c>
      <c r="B115" s="284">
        <f t="shared" si="20"/>
        <v>0</v>
      </c>
      <c r="C115" s="284">
        <f t="shared" si="20"/>
        <v>0</v>
      </c>
      <c r="D115" s="284">
        <f t="shared" si="20"/>
        <v>0</v>
      </c>
      <c r="E115" s="284">
        <f t="shared" si="20"/>
        <v>0</v>
      </c>
      <c r="F115" s="284">
        <f t="shared" si="20"/>
        <v>0</v>
      </c>
      <c r="G115" s="284">
        <f t="shared" si="20"/>
        <v>0</v>
      </c>
      <c r="H115" s="284">
        <f t="shared" si="20"/>
        <v>0</v>
      </c>
      <c r="J115" s="306"/>
      <c r="K115" s="306"/>
      <c r="L115" s="306"/>
    </row>
    <row r="116" spans="1:12" hidden="1">
      <c r="A116" s="91" t="str">
        <f>A59</f>
        <v>Citrus</v>
      </c>
      <c r="B116" s="284">
        <f t="shared" si="20"/>
        <v>0</v>
      </c>
      <c r="C116" s="284">
        <f t="shared" si="20"/>
        <v>0</v>
      </c>
      <c r="D116" s="284">
        <f t="shared" si="20"/>
        <v>0</v>
      </c>
      <c r="E116" s="284">
        <f t="shared" si="20"/>
        <v>0</v>
      </c>
      <c r="F116" s="284">
        <f t="shared" si="20"/>
        <v>0</v>
      </c>
      <c r="G116" s="284">
        <f t="shared" si="20"/>
        <v>0</v>
      </c>
      <c r="H116" s="284">
        <f t="shared" si="20"/>
        <v>0</v>
      </c>
      <c r="J116" s="306"/>
      <c r="K116" s="306"/>
      <c r="L116" s="306"/>
    </row>
    <row r="117" spans="1:12" hidden="1">
      <c r="A117" s="91"/>
      <c r="B117" s="284"/>
      <c r="C117" s="284"/>
      <c r="D117" s="284"/>
      <c r="E117" s="284"/>
      <c r="F117" s="284"/>
      <c r="G117" s="284"/>
      <c r="H117" s="284"/>
      <c r="J117" s="306"/>
      <c r="K117" s="306"/>
      <c r="L117" s="306"/>
    </row>
    <row r="118" spans="1:12" hidden="1">
      <c r="A118" s="91"/>
      <c r="B118" s="284"/>
      <c r="C118" s="284"/>
      <c r="D118" s="284"/>
      <c r="E118" s="284"/>
      <c r="F118" s="284"/>
      <c r="G118" s="284"/>
      <c r="H118" s="284"/>
      <c r="J118" s="306"/>
      <c r="K118" s="306"/>
      <c r="L118" s="306"/>
    </row>
    <row r="119" spans="1:12">
      <c r="A119" s="97" t="s">
        <v>140</v>
      </c>
      <c r="B119" s="91"/>
      <c r="C119" s="91"/>
      <c r="D119" s="91"/>
      <c r="E119" s="91"/>
      <c r="F119" s="91"/>
      <c r="G119" s="91"/>
      <c r="H119" s="91"/>
    </row>
    <row r="120" spans="1:12">
      <c r="A120" s="95" t="str">
        <f t="shared" ref="A120:A141" si="21">A68</f>
        <v>Soybean</v>
      </c>
      <c r="B120" s="450">
        <f t="shared" ref="B120:H129" si="22">B68-(B68*$G$6)</f>
        <v>5880</v>
      </c>
      <c r="C120" s="450">
        <f t="shared" si="22"/>
        <v>6615</v>
      </c>
      <c r="D120" s="450">
        <f t="shared" si="22"/>
        <v>7350</v>
      </c>
      <c r="E120" s="450">
        <f t="shared" si="22"/>
        <v>8085</v>
      </c>
      <c r="F120" s="450">
        <f t="shared" si="22"/>
        <v>8820</v>
      </c>
      <c r="G120" s="450">
        <f t="shared" si="22"/>
        <v>9555</v>
      </c>
      <c r="H120" s="450">
        <f t="shared" si="22"/>
        <v>10290</v>
      </c>
    </row>
    <row r="121" spans="1:12">
      <c r="A121" s="95" t="str">
        <f t="shared" si="21"/>
        <v>Red Gram/Tur</v>
      </c>
      <c r="B121" s="450">
        <f t="shared" si="22"/>
        <v>1955.1</v>
      </c>
      <c r="C121" s="450">
        <f t="shared" si="22"/>
        <v>2199.4875000000002</v>
      </c>
      <c r="D121" s="450">
        <f t="shared" si="22"/>
        <v>2443.875</v>
      </c>
      <c r="E121" s="450">
        <f t="shared" si="22"/>
        <v>2688.2624999999998</v>
      </c>
      <c r="F121" s="450">
        <f t="shared" si="22"/>
        <v>2932.6500000000005</v>
      </c>
      <c r="G121" s="450">
        <f t="shared" si="22"/>
        <v>3177.0375000000004</v>
      </c>
      <c r="H121" s="450">
        <f t="shared" si="22"/>
        <v>3421.4250000000011</v>
      </c>
    </row>
    <row r="122" spans="1:12" hidden="1">
      <c r="A122" s="95" t="str">
        <f t="shared" si="21"/>
        <v>Paddy/Rice</v>
      </c>
      <c r="B122" s="450">
        <f t="shared" si="22"/>
        <v>0</v>
      </c>
      <c r="C122" s="450">
        <f t="shared" si="22"/>
        <v>0</v>
      </c>
      <c r="D122" s="450">
        <f t="shared" si="22"/>
        <v>0</v>
      </c>
      <c r="E122" s="450">
        <f t="shared" si="22"/>
        <v>0</v>
      </c>
      <c r="F122" s="450">
        <f t="shared" si="22"/>
        <v>0</v>
      </c>
      <c r="G122" s="450">
        <f t="shared" si="22"/>
        <v>0</v>
      </c>
      <c r="H122" s="450">
        <f t="shared" si="22"/>
        <v>0</v>
      </c>
    </row>
    <row r="123" spans="1:12" hidden="1">
      <c r="A123" s="95" t="str">
        <f t="shared" si="21"/>
        <v>Green Gram/ Moong</v>
      </c>
      <c r="B123" s="450">
        <f t="shared" si="22"/>
        <v>0</v>
      </c>
      <c r="C123" s="450">
        <f t="shared" si="22"/>
        <v>0</v>
      </c>
      <c r="D123" s="450">
        <f t="shared" si="22"/>
        <v>0</v>
      </c>
      <c r="E123" s="450">
        <f t="shared" si="22"/>
        <v>0</v>
      </c>
      <c r="F123" s="450">
        <f t="shared" si="22"/>
        <v>0</v>
      </c>
      <c r="G123" s="450">
        <f t="shared" si="22"/>
        <v>0</v>
      </c>
      <c r="H123" s="450">
        <f t="shared" si="22"/>
        <v>0</v>
      </c>
    </row>
    <row r="124" spans="1:12" hidden="1">
      <c r="A124" s="95" t="str">
        <f t="shared" si="21"/>
        <v>Maize</v>
      </c>
      <c r="B124" s="450">
        <f t="shared" si="22"/>
        <v>0</v>
      </c>
      <c r="C124" s="450">
        <f t="shared" si="22"/>
        <v>0</v>
      </c>
      <c r="D124" s="450">
        <f t="shared" si="22"/>
        <v>0</v>
      </c>
      <c r="E124" s="450">
        <f t="shared" si="22"/>
        <v>0</v>
      </c>
      <c r="F124" s="450">
        <f t="shared" si="22"/>
        <v>0</v>
      </c>
      <c r="G124" s="450">
        <f t="shared" si="22"/>
        <v>0</v>
      </c>
      <c r="H124" s="450">
        <f t="shared" si="22"/>
        <v>0</v>
      </c>
    </row>
    <row r="125" spans="1:12" hidden="1">
      <c r="A125" s="95" t="str">
        <f t="shared" si="21"/>
        <v>Black Gram/Udid</v>
      </c>
      <c r="B125" s="450">
        <f t="shared" si="22"/>
        <v>0</v>
      </c>
      <c r="C125" s="450">
        <f t="shared" si="22"/>
        <v>0</v>
      </c>
      <c r="D125" s="450">
        <f t="shared" si="22"/>
        <v>0</v>
      </c>
      <c r="E125" s="450">
        <f t="shared" si="22"/>
        <v>0</v>
      </c>
      <c r="F125" s="450">
        <f t="shared" si="22"/>
        <v>0</v>
      </c>
      <c r="G125" s="450">
        <f t="shared" si="22"/>
        <v>0</v>
      </c>
      <c r="H125" s="450">
        <f t="shared" si="22"/>
        <v>0</v>
      </c>
    </row>
    <row r="126" spans="1:12" hidden="1">
      <c r="A126" s="95" t="str">
        <f t="shared" si="21"/>
        <v>Bajra</v>
      </c>
      <c r="B126" s="450">
        <f t="shared" si="22"/>
        <v>0</v>
      </c>
      <c r="C126" s="450">
        <f t="shared" si="22"/>
        <v>0</v>
      </c>
      <c r="D126" s="450">
        <f t="shared" si="22"/>
        <v>0</v>
      </c>
      <c r="E126" s="450">
        <f t="shared" si="22"/>
        <v>0</v>
      </c>
      <c r="F126" s="450">
        <f t="shared" si="22"/>
        <v>0</v>
      </c>
      <c r="G126" s="450">
        <f t="shared" si="22"/>
        <v>0</v>
      </c>
      <c r="H126" s="450">
        <f t="shared" si="22"/>
        <v>0</v>
      </c>
    </row>
    <row r="127" spans="1:12" hidden="1">
      <c r="A127" s="95" t="str">
        <f t="shared" si="21"/>
        <v>Jawar</v>
      </c>
      <c r="B127" s="450">
        <f t="shared" si="22"/>
        <v>0</v>
      </c>
      <c r="C127" s="450">
        <f t="shared" si="22"/>
        <v>0</v>
      </c>
      <c r="D127" s="450">
        <f t="shared" si="22"/>
        <v>0</v>
      </c>
      <c r="E127" s="450">
        <f t="shared" si="22"/>
        <v>0</v>
      </c>
      <c r="F127" s="450">
        <f t="shared" si="22"/>
        <v>0</v>
      </c>
      <c r="G127" s="450">
        <f t="shared" si="22"/>
        <v>0</v>
      </c>
      <c r="H127" s="450">
        <f t="shared" si="22"/>
        <v>0</v>
      </c>
    </row>
    <row r="128" spans="1:12" hidden="1">
      <c r="A128" s="95" t="str">
        <f t="shared" si="21"/>
        <v>Sunflower</v>
      </c>
      <c r="B128" s="450">
        <f t="shared" si="22"/>
        <v>0</v>
      </c>
      <c r="C128" s="450">
        <f t="shared" si="22"/>
        <v>0</v>
      </c>
      <c r="D128" s="450">
        <f t="shared" si="22"/>
        <v>0</v>
      </c>
      <c r="E128" s="450">
        <f t="shared" si="22"/>
        <v>0</v>
      </c>
      <c r="F128" s="450">
        <f t="shared" si="22"/>
        <v>0</v>
      </c>
      <c r="G128" s="450">
        <f t="shared" si="22"/>
        <v>0</v>
      </c>
      <c r="H128" s="450">
        <f t="shared" si="22"/>
        <v>0</v>
      </c>
    </row>
    <row r="129" spans="1:8">
      <c r="A129" s="95" t="str">
        <f t="shared" si="21"/>
        <v>Wheat</v>
      </c>
      <c r="B129" s="450">
        <f t="shared" si="22"/>
        <v>882</v>
      </c>
      <c r="C129" s="450">
        <f t="shared" si="22"/>
        <v>992.25</v>
      </c>
      <c r="D129" s="450">
        <f t="shared" si="22"/>
        <v>1102.5</v>
      </c>
      <c r="E129" s="450">
        <f t="shared" si="22"/>
        <v>1212.75</v>
      </c>
      <c r="F129" s="450">
        <f t="shared" si="22"/>
        <v>1323.0000000000002</v>
      </c>
      <c r="G129" s="450">
        <f t="shared" si="22"/>
        <v>1433.2500000000002</v>
      </c>
      <c r="H129" s="450">
        <f t="shared" si="22"/>
        <v>1543.5000000000005</v>
      </c>
    </row>
    <row r="130" spans="1:8">
      <c r="A130" s="95" t="str">
        <f t="shared" si="21"/>
        <v>Bengal Gram/Channa</v>
      </c>
      <c r="B130" s="450">
        <f t="shared" ref="B130:H139" si="23">B78-(B78*$G$6)</f>
        <v>1862</v>
      </c>
      <c r="C130" s="450">
        <f t="shared" si="23"/>
        <v>2094.75</v>
      </c>
      <c r="D130" s="450">
        <f t="shared" si="23"/>
        <v>2327.5</v>
      </c>
      <c r="E130" s="450">
        <f t="shared" si="23"/>
        <v>2560.25</v>
      </c>
      <c r="F130" s="450">
        <f t="shared" si="23"/>
        <v>2793.0000000000005</v>
      </c>
      <c r="G130" s="450">
        <f t="shared" si="23"/>
        <v>3025.7500000000005</v>
      </c>
      <c r="H130" s="450">
        <f t="shared" si="23"/>
        <v>3258.5000000000009</v>
      </c>
    </row>
    <row r="131" spans="1:8" hidden="1">
      <c r="A131" s="95" t="str">
        <f t="shared" si="21"/>
        <v>Jawar</v>
      </c>
      <c r="B131" s="285">
        <f t="shared" si="23"/>
        <v>0</v>
      </c>
      <c r="C131" s="285">
        <f t="shared" si="23"/>
        <v>0</v>
      </c>
      <c r="D131" s="285">
        <f t="shared" si="23"/>
        <v>0</v>
      </c>
      <c r="E131" s="285">
        <f t="shared" si="23"/>
        <v>0</v>
      </c>
      <c r="F131" s="285">
        <f t="shared" si="23"/>
        <v>0</v>
      </c>
      <c r="G131" s="285">
        <f t="shared" si="23"/>
        <v>0</v>
      </c>
      <c r="H131" s="285">
        <f t="shared" si="23"/>
        <v>0</v>
      </c>
    </row>
    <row r="132" spans="1:8" hidden="1">
      <c r="A132" s="95" t="str">
        <f t="shared" si="21"/>
        <v>Maize</v>
      </c>
      <c r="B132" s="285">
        <f t="shared" si="23"/>
        <v>0</v>
      </c>
      <c r="C132" s="285">
        <f t="shared" si="23"/>
        <v>0</v>
      </c>
      <c r="D132" s="285">
        <f t="shared" si="23"/>
        <v>0</v>
      </c>
      <c r="E132" s="285">
        <f t="shared" si="23"/>
        <v>0</v>
      </c>
      <c r="F132" s="285">
        <f t="shared" si="23"/>
        <v>0</v>
      </c>
      <c r="G132" s="285">
        <f t="shared" si="23"/>
        <v>0</v>
      </c>
      <c r="H132" s="285">
        <f t="shared" si="23"/>
        <v>0</v>
      </c>
    </row>
    <row r="133" spans="1:8" hidden="1">
      <c r="A133" s="95" t="str">
        <f t="shared" si="21"/>
        <v>Safflower</v>
      </c>
      <c r="B133" s="285">
        <f t="shared" si="23"/>
        <v>0</v>
      </c>
      <c r="C133" s="285">
        <f t="shared" si="23"/>
        <v>0</v>
      </c>
      <c r="D133" s="285">
        <f t="shared" si="23"/>
        <v>0</v>
      </c>
      <c r="E133" s="285">
        <f t="shared" si="23"/>
        <v>0</v>
      </c>
      <c r="F133" s="285">
        <f t="shared" si="23"/>
        <v>0</v>
      </c>
      <c r="G133" s="285">
        <f t="shared" si="23"/>
        <v>0</v>
      </c>
      <c r="H133" s="285">
        <f t="shared" si="23"/>
        <v>0</v>
      </c>
    </row>
    <row r="134" spans="1:8" hidden="1">
      <c r="A134" s="95">
        <f t="shared" si="21"/>
        <v>0</v>
      </c>
      <c r="B134" s="285">
        <f t="shared" si="23"/>
        <v>0</v>
      </c>
      <c r="C134" s="285">
        <f t="shared" si="23"/>
        <v>0</v>
      </c>
      <c r="D134" s="285">
        <f t="shared" si="23"/>
        <v>0</v>
      </c>
      <c r="E134" s="285">
        <f t="shared" si="23"/>
        <v>0</v>
      </c>
      <c r="F134" s="285">
        <f t="shared" si="23"/>
        <v>0</v>
      </c>
      <c r="G134" s="285">
        <f t="shared" si="23"/>
        <v>0</v>
      </c>
      <c r="H134" s="285">
        <f t="shared" si="23"/>
        <v>0</v>
      </c>
    </row>
    <row r="135" spans="1:8" hidden="1">
      <c r="A135" s="95">
        <f t="shared" si="21"/>
        <v>0</v>
      </c>
      <c r="B135" s="285">
        <f t="shared" si="23"/>
        <v>0</v>
      </c>
      <c r="C135" s="285">
        <f t="shared" si="23"/>
        <v>0</v>
      </c>
      <c r="D135" s="285">
        <f t="shared" si="23"/>
        <v>0</v>
      </c>
      <c r="E135" s="285">
        <f t="shared" si="23"/>
        <v>0</v>
      </c>
      <c r="F135" s="285">
        <f t="shared" si="23"/>
        <v>0</v>
      </c>
      <c r="G135" s="285">
        <f t="shared" si="23"/>
        <v>0</v>
      </c>
      <c r="H135" s="285">
        <f t="shared" si="23"/>
        <v>0</v>
      </c>
    </row>
    <row r="136" spans="1:8" hidden="1">
      <c r="A136" s="95">
        <f t="shared" si="21"/>
        <v>0</v>
      </c>
      <c r="B136" s="285">
        <f t="shared" si="23"/>
        <v>0</v>
      </c>
      <c r="C136" s="285">
        <f t="shared" si="23"/>
        <v>0</v>
      </c>
      <c r="D136" s="285">
        <f t="shared" si="23"/>
        <v>0</v>
      </c>
      <c r="E136" s="285">
        <f t="shared" si="23"/>
        <v>0</v>
      </c>
      <c r="F136" s="285">
        <f t="shared" si="23"/>
        <v>0</v>
      </c>
      <c r="G136" s="285">
        <f t="shared" si="23"/>
        <v>0</v>
      </c>
      <c r="H136" s="285">
        <f t="shared" si="23"/>
        <v>0</v>
      </c>
    </row>
    <row r="137" spans="1:8" hidden="1">
      <c r="A137" s="95" t="str">
        <f t="shared" si="21"/>
        <v>Groundnut</v>
      </c>
      <c r="B137" s="285">
        <f t="shared" si="23"/>
        <v>0</v>
      </c>
      <c r="C137" s="285">
        <f t="shared" si="23"/>
        <v>0</v>
      </c>
      <c r="D137" s="285">
        <f t="shared" si="23"/>
        <v>0</v>
      </c>
      <c r="E137" s="285">
        <f t="shared" si="23"/>
        <v>0</v>
      </c>
      <c r="F137" s="285">
        <f t="shared" si="23"/>
        <v>0</v>
      </c>
      <c r="G137" s="285">
        <f t="shared" si="23"/>
        <v>0</v>
      </c>
      <c r="H137" s="285">
        <f t="shared" si="23"/>
        <v>0</v>
      </c>
    </row>
    <row r="138" spans="1:8" hidden="1">
      <c r="A138" s="95">
        <f t="shared" si="21"/>
        <v>0</v>
      </c>
      <c r="B138" s="285">
        <f t="shared" si="23"/>
        <v>0</v>
      </c>
      <c r="C138" s="285">
        <f t="shared" si="23"/>
        <v>0</v>
      </c>
      <c r="D138" s="285">
        <f t="shared" si="23"/>
        <v>0</v>
      </c>
      <c r="E138" s="285">
        <f t="shared" si="23"/>
        <v>0</v>
      </c>
      <c r="F138" s="285">
        <f t="shared" si="23"/>
        <v>0</v>
      </c>
      <c r="G138" s="285">
        <f t="shared" si="23"/>
        <v>0</v>
      </c>
      <c r="H138" s="285">
        <f t="shared" si="23"/>
        <v>0</v>
      </c>
    </row>
    <row r="139" spans="1:8" hidden="1">
      <c r="A139" s="95">
        <f t="shared" si="21"/>
        <v>0</v>
      </c>
      <c r="B139" s="285">
        <f t="shared" si="23"/>
        <v>0</v>
      </c>
      <c r="C139" s="285">
        <f t="shared" si="23"/>
        <v>0</v>
      </c>
      <c r="D139" s="285">
        <f t="shared" si="23"/>
        <v>0</v>
      </c>
      <c r="E139" s="285">
        <f t="shared" si="23"/>
        <v>0</v>
      </c>
      <c r="F139" s="285">
        <f t="shared" si="23"/>
        <v>0</v>
      </c>
      <c r="G139" s="285">
        <f t="shared" si="23"/>
        <v>0</v>
      </c>
      <c r="H139" s="285">
        <f t="shared" si="23"/>
        <v>0</v>
      </c>
    </row>
    <row r="140" spans="1:8" hidden="1">
      <c r="A140" s="95">
        <f t="shared" si="21"/>
        <v>0</v>
      </c>
      <c r="B140" s="285">
        <f t="shared" ref="B140:H141" si="24">B88-(B88*$G$6)</f>
        <v>0</v>
      </c>
      <c r="C140" s="285">
        <f t="shared" si="24"/>
        <v>0</v>
      </c>
      <c r="D140" s="285">
        <f t="shared" si="24"/>
        <v>0</v>
      </c>
      <c r="E140" s="285">
        <f t="shared" si="24"/>
        <v>0</v>
      </c>
      <c r="F140" s="285">
        <f t="shared" si="24"/>
        <v>0</v>
      </c>
      <c r="G140" s="285">
        <f t="shared" si="24"/>
        <v>0</v>
      </c>
      <c r="H140" s="285">
        <f t="shared" si="24"/>
        <v>0</v>
      </c>
    </row>
    <row r="141" spans="1:8" hidden="1">
      <c r="A141" s="95">
        <f t="shared" si="21"/>
        <v>0</v>
      </c>
      <c r="B141" s="285">
        <f t="shared" si="24"/>
        <v>0</v>
      </c>
      <c r="C141" s="285">
        <f t="shared" si="24"/>
        <v>0</v>
      </c>
      <c r="D141" s="285">
        <f t="shared" si="24"/>
        <v>0</v>
      </c>
      <c r="E141" s="285">
        <f t="shared" si="24"/>
        <v>0</v>
      </c>
      <c r="F141" s="285">
        <f t="shared" si="24"/>
        <v>0</v>
      </c>
      <c r="G141" s="285">
        <f t="shared" si="24"/>
        <v>0</v>
      </c>
      <c r="H141" s="285">
        <f t="shared" si="24"/>
        <v>0</v>
      </c>
    </row>
    <row r="142" spans="1:8" hidden="1">
      <c r="A142" s="95"/>
      <c r="B142" s="285"/>
      <c r="C142" s="285"/>
      <c r="D142" s="285"/>
      <c r="E142" s="285"/>
      <c r="F142" s="285"/>
      <c r="G142" s="285"/>
      <c r="H142" s="285"/>
    </row>
    <row r="143" spans="1:8" hidden="1">
      <c r="A143" s="97" t="str">
        <f t="shared" ref="A143:A161" si="25">A91</f>
        <v>Fruit  &amp; Vegetables Crop Production Details</v>
      </c>
      <c r="B143" s="285"/>
      <c r="C143" s="285"/>
      <c r="D143" s="285"/>
      <c r="E143" s="285"/>
      <c r="F143" s="285"/>
      <c r="G143" s="285"/>
      <c r="H143" s="285"/>
    </row>
    <row r="144" spans="1:8" hidden="1">
      <c r="A144" s="95" t="str">
        <f t="shared" si="25"/>
        <v>Onion</v>
      </c>
      <c r="B144" s="285">
        <f t="shared" ref="B144:H153" si="26">B92-(B92*$G$7)</f>
        <v>0</v>
      </c>
      <c r="C144" s="285">
        <f t="shared" si="26"/>
        <v>0</v>
      </c>
      <c r="D144" s="285">
        <f t="shared" si="26"/>
        <v>0</v>
      </c>
      <c r="E144" s="285">
        <f t="shared" si="26"/>
        <v>0</v>
      </c>
      <c r="F144" s="285">
        <f t="shared" si="26"/>
        <v>0</v>
      </c>
      <c r="G144" s="285">
        <f t="shared" si="26"/>
        <v>0</v>
      </c>
      <c r="H144" s="285">
        <f t="shared" si="26"/>
        <v>0</v>
      </c>
    </row>
    <row r="145" spans="1:8" hidden="1">
      <c r="A145" s="95" t="str">
        <f t="shared" si="25"/>
        <v>Tomato</v>
      </c>
      <c r="B145" s="285">
        <f t="shared" si="26"/>
        <v>0</v>
      </c>
      <c r="C145" s="285">
        <f t="shared" si="26"/>
        <v>0</v>
      </c>
      <c r="D145" s="285">
        <f t="shared" si="26"/>
        <v>0</v>
      </c>
      <c r="E145" s="285">
        <f t="shared" si="26"/>
        <v>0</v>
      </c>
      <c r="F145" s="285">
        <f t="shared" si="26"/>
        <v>0</v>
      </c>
      <c r="G145" s="285">
        <f t="shared" si="26"/>
        <v>0</v>
      </c>
      <c r="H145" s="285">
        <f t="shared" si="26"/>
        <v>0</v>
      </c>
    </row>
    <row r="146" spans="1:8" hidden="1">
      <c r="A146" s="95" t="str">
        <f t="shared" si="25"/>
        <v>Okra</v>
      </c>
      <c r="B146" s="285">
        <f t="shared" si="26"/>
        <v>0</v>
      </c>
      <c r="C146" s="285">
        <f t="shared" si="26"/>
        <v>0</v>
      </c>
      <c r="D146" s="285">
        <f t="shared" si="26"/>
        <v>0</v>
      </c>
      <c r="E146" s="285">
        <f t="shared" si="26"/>
        <v>0</v>
      </c>
      <c r="F146" s="285">
        <f t="shared" si="26"/>
        <v>0</v>
      </c>
      <c r="G146" s="285">
        <f t="shared" si="26"/>
        <v>0</v>
      </c>
      <c r="H146" s="285">
        <f t="shared" si="26"/>
        <v>0</v>
      </c>
    </row>
    <row r="147" spans="1:8" hidden="1">
      <c r="A147" s="95" t="str">
        <f t="shared" si="25"/>
        <v>Chilli</v>
      </c>
      <c r="B147" s="285">
        <f t="shared" si="26"/>
        <v>0</v>
      </c>
      <c r="C147" s="285">
        <f t="shared" si="26"/>
        <v>0</v>
      </c>
      <c r="D147" s="285">
        <f t="shared" si="26"/>
        <v>0</v>
      </c>
      <c r="E147" s="285">
        <f t="shared" si="26"/>
        <v>0</v>
      </c>
      <c r="F147" s="285">
        <f t="shared" si="26"/>
        <v>0</v>
      </c>
      <c r="G147" s="285">
        <f t="shared" si="26"/>
        <v>0</v>
      </c>
      <c r="H147" s="285">
        <f t="shared" si="26"/>
        <v>0</v>
      </c>
    </row>
    <row r="148" spans="1:8" hidden="1">
      <c r="A148" s="95" t="str">
        <f t="shared" si="25"/>
        <v>Potato</v>
      </c>
      <c r="B148" s="285">
        <f t="shared" si="26"/>
        <v>0</v>
      </c>
      <c r="C148" s="285">
        <f t="shared" si="26"/>
        <v>0</v>
      </c>
      <c r="D148" s="285">
        <f t="shared" si="26"/>
        <v>0</v>
      </c>
      <c r="E148" s="285">
        <f t="shared" si="26"/>
        <v>0</v>
      </c>
      <c r="F148" s="285">
        <f t="shared" si="26"/>
        <v>0</v>
      </c>
      <c r="G148" s="285">
        <f t="shared" si="26"/>
        <v>0</v>
      </c>
      <c r="H148" s="285">
        <f t="shared" si="26"/>
        <v>0</v>
      </c>
    </row>
    <row r="149" spans="1:8" hidden="1">
      <c r="A149" s="95">
        <f t="shared" si="25"/>
        <v>0</v>
      </c>
      <c r="B149" s="285">
        <f t="shared" si="26"/>
        <v>0</v>
      </c>
      <c r="C149" s="285">
        <f t="shared" si="26"/>
        <v>0</v>
      </c>
      <c r="D149" s="285">
        <f t="shared" si="26"/>
        <v>0</v>
      </c>
      <c r="E149" s="285">
        <f t="shared" si="26"/>
        <v>0</v>
      </c>
      <c r="F149" s="285">
        <f t="shared" si="26"/>
        <v>0</v>
      </c>
      <c r="G149" s="285">
        <f t="shared" si="26"/>
        <v>0</v>
      </c>
      <c r="H149" s="285">
        <f t="shared" si="26"/>
        <v>0</v>
      </c>
    </row>
    <row r="150" spans="1:8" hidden="1">
      <c r="A150" s="95">
        <f t="shared" si="25"/>
        <v>0</v>
      </c>
      <c r="B150" s="285">
        <f t="shared" si="26"/>
        <v>0</v>
      </c>
      <c r="C150" s="285">
        <f t="shared" si="26"/>
        <v>0</v>
      </c>
      <c r="D150" s="285">
        <f t="shared" si="26"/>
        <v>0</v>
      </c>
      <c r="E150" s="285">
        <f t="shared" si="26"/>
        <v>0</v>
      </c>
      <c r="F150" s="285">
        <f t="shared" si="26"/>
        <v>0</v>
      </c>
      <c r="G150" s="285">
        <f t="shared" si="26"/>
        <v>0</v>
      </c>
      <c r="H150" s="285">
        <f t="shared" si="26"/>
        <v>0</v>
      </c>
    </row>
    <row r="151" spans="1:8" hidden="1">
      <c r="A151" s="95">
        <f t="shared" si="25"/>
        <v>0</v>
      </c>
      <c r="B151" s="285">
        <f t="shared" si="26"/>
        <v>0</v>
      </c>
      <c r="C151" s="285">
        <f t="shared" si="26"/>
        <v>0</v>
      </c>
      <c r="D151" s="285">
        <f t="shared" si="26"/>
        <v>0</v>
      </c>
      <c r="E151" s="285">
        <f t="shared" si="26"/>
        <v>0</v>
      </c>
      <c r="F151" s="285">
        <f t="shared" si="26"/>
        <v>0</v>
      </c>
      <c r="G151" s="285">
        <f t="shared" si="26"/>
        <v>0</v>
      </c>
      <c r="H151" s="285">
        <f t="shared" si="26"/>
        <v>0</v>
      </c>
    </row>
    <row r="152" spans="1:8" hidden="1">
      <c r="A152" s="95">
        <f t="shared" si="25"/>
        <v>0</v>
      </c>
      <c r="B152" s="285">
        <f t="shared" si="26"/>
        <v>0</v>
      </c>
      <c r="C152" s="285">
        <f t="shared" si="26"/>
        <v>0</v>
      </c>
      <c r="D152" s="285">
        <f t="shared" si="26"/>
        <v>0</v>
      </c>
      <c r="E152" s="285">
        <f t="shared" si="26"/>
        <v>0</v>
      </c>
      <c r="F152" s="285">
        <f t="shared" si="26"/>
        <v>0</v>
      </c>
      <c r="G152" s="285">
        <f t="shared" si="26"/>
        <v>0</v>
      </c>
      <c r="H152" s="285">
        <f t="shared" si="26"/>
        <v>0</v>
      </c>
    </row>
    <row r="153" spans="1:8" hidden="1">
      <c r="A153" s="95" t="str">
        <f t="shared" si="25"/>
        <v>Onion</v>
      </c>
      <c r="B153" s="285">
        <f t="shared" si="26"/>
        <v>0</v>
      </c>
      <c r="C153" s="285">
        <f t="shared" si="26"/>
        <v>0</v>
      </c>
      <c r="D153" s="285">
        <f t="shared" si="26"/>
        <v>0</v>
      </c>
      <c r="E153" s="285">
        <f t="shared" si="26"/>
        <v>0</v>
      </c>
      <c r="F153" s="285">
        <f t="shared" si="26"/>
        <v>0</v>
      </c>
      <c r="G153" s="285">
        <f t="shared" si="26"/>
        <v>0</v>
      </c>
      <c r="H153" s="285">
        <f t="shared" si="26"/>
        <v>0</v>
      </c>
    </row>
    <row r="154" spans="1:8" hidden="1">
      <c r="A154" s="95" t="str">
        <f t="shared" si="25"/>
        <v>Tomato</v>
      </c>
      <c r="B154" s="285">
        <f t="shared" ref="B154:H161" si="27">B102-(B102*$G$7)</f>
        <v>0</v>
      </c>
      <c r="C154" s="285">
        <f t="shared" si="27"/>
        <v>0</v>
      </c>
      <c r="D154" s="285">
        <f t="shared" si="27"/>
        <v>0</v>
      </c>
      <c r="E154" s="285">
        <f t="shared" si="27"/>
        <v>0</v>
      </c>
      <c r="F154" s="285">
        <f t="shared" si="27"/>
        <v>0</v>
      </c>
      <c r="G154" s="285">
        <f t="shared" si="27"/>
        <v>0</v>
      </c>
      <c r="H154" s="285">
        <f t="shared" si="27"/>
        <v>0</v>
      </c>
    </row>
    <row r="155" spans="1:8" hidden="1">
      <c r="A155" s="95" t="str">
        <f t="shared" si="25"/>
        <v>Okra</v>
      </c>
      <c r="B155" s="285">
        <f t="shared" si="27"/>
        <v>0</v>
      </c>
      <c r="C155" s="285">
        <f t="shared" si="27"/>
        <v>0</v>
      </c>
      <c r="D155" s="285">
        <f t="shared" si="27"/>
        <v>0</v>
      </c>
      <c r="E155" s="285">
        <f t="shared" si="27"/>
        <v>0</v>
      </c>
      <c r="F155" s="285">
        <f t="shared" si="27"/>
        <v>0</v>
      </c>
      <c r="G155" s="285">
        <f t="shared" si="27"/>
        <v>0</v>
      </c>
      <c r="H155" s="285">
        <f t="shared" si="27"/>
        <v>0</v>
      </c>
    </row>
    <row r="156" spans="1:8" hidden="1">
      <c r="A156" s="95" t="str">
        <f t="shared" si="25"/>
        <v>Chilli</v>
      </c>
      <c r="B156" s="285">
        <f t="shared" si="27"/>
        <v>0</v>
      </c>
      <c r="C156" s="285">
        <f t="shared" si="27"/>
        <v>0</v>
      </c>
      <c r="D156" s="285">
        <f t="shared" si="27"/>
        <v>0</v>
      </c>
      <c r="E156" s="285">
        <f t="shared" si="27"/>
        <v>0</v>
      </c>
      <c r="F156" s="285">
        <f t="shared" si="27"/>
        <v>0</v>
      </c>
      <c r="G156" s="285">
        <f t="shared" si="27"/>
        <v>0</v>
      </c>
      <c r="H156" s="285">
        <f t="shared" si="27"/>
        <v>0</v>
      </c>
    </row>
    <row r="157" spans="1:8" hidden="1">
      <c r="A157" s="95" t="str">
        <f t="shared" si="25"/>
        <v>Brinjal</v>
      </c>
      <c r="B157" s="285">
        <f t="shared" si="27"/>
        <v>0</v>
      </c>
      <c r="C157" s="285">
        <f t="shared" si="27"/>
        <v>0</v>
      </c>
      <c r="D157" s="285">
        <f t="shared" si="27"/>
        <v>0</v>
      </c>
      <c r="E157" s="285">
        <f t="shared" si="27"/>
        <v>0</v>
      </c>
      <c r="F157" s="285">
        <f t="shared" si="27"/>
        <v>0</v>
      </c>
      <c r="G157" s="285">
        <f t="shared" si="27"/>
        <v>0</v>
      </c>
      <c r="H157" s="285">
        <f t="shared" si="27"/>
        <v>0</v>
      </c>
    </row>
    <row r="158" spans="1:8" hidden="1">
      <c r="A158" s="95">
        <f t="shared" si="25"/>
        <v>0</v>
      </c>
      <c r="B158" s="285">
        <f t="shared" si="27"/>
        <v>0</v>
      </c>
      <c r="C158" s="285">
        <f t="shared" si="27"/>
        <v>0</v>
      </c>
      <c r="D158" s="285">
        <f t="shared" si="27"/>
        <v>0</v>
      </c>
      <c r="E158" s="285">
        <f t="shared" si="27"/>
        <v>0</v>
      </c>
      <c r="F158" s="285">
        <f t="shared" si="27"/>
        <v>0</v>
      </c>
      <c r="G158" s="285">
        <f t="shared" si="27"/>
        <v>0</v>
      </c>
      <c r="H158" s="285">
        <f t="shared" si="27"/>
        <v>0</v>
      </c>
    </row>
    <row r="159" spans="1:8" hidden="1">
      <c r="A159" s="95">
        <f t="shared" si="25"/>
        <v>0</v>
      </c>
      <c r="B159" s="285">
        <f t="shared" si="27"/>
        <v>0</v>
      </c>
      <c r="C159" s="285">
        <f t="shared" si="27"/>
        <v>0</v>
      </c>
      <c r="D159" s="285">
        <f t="shared" si="27"/>
        <v>0</v>
      </c>
      <c r="E159" s="285">
        <f t="shared" si="27"/>
        <v>0</v>
      </c>
      <c r="F159" s="285">
        <f t="shared" si="27"/>
        <v>0</v>
      </c>
      <c r="G159" s="285">
        <f t="shared" si="27"/>
        <v>0</v>
      </c>
      <c r="H159" s="285">
        <f t="shared" si="27"/>
        <v>0</v>
      </c>
    </row>
    <row r="160" spans="1:8" hidden="1">
      <c r="A160" s="95">
        <f t="shared" si="25"/>
        <v>0</v>
      </c>
      <c r="B160" s="285">
        <f t="shared" si="27"/>
        <v>0</v>
      </c>
      <c r="C160" s="285">
        <f t="shared" si="27"/>
        <v>0</v>
      </c>
      <c r="D160" s="285">
        <f t="shared" si="27"/>
        <v>0</v>
      </c>
      <c r="E160" s="285">
        <f t="shared" si="27"/>
        <v>0</v>
      </c>
      <c r="F160" s="285">
        <f t="shared" si="27"/>
        <v>0</v>
      </c>
      <c r="G160" s="285">
        <f t="shared" si="27"/>
        <v>0</v>
      </c>
      <c r="H160" s="285">
        <f t="shared" si="27"/>
        <v>0</v>
      </c>
    </row>
    <row r="161" spans="1:20" hidden="1">
      <c r="A161" s="95">
        <f t="shared" si="25"/>
        <v>0</v>
      </c>
      <c r="B161" s="285">
        <f t="shared" si="27"/>
        <v>0</v>
      </c>
      <c r="C161" s="285">
        <f t="shared" si="27"/>
        <v>0</v>
      </c>
      <c r="D161" s="285">
        <f t="shared" si="27"/>
        <v>0</v>
      </c>
      <c r="E161" s="285">
        <f t="shared" si="27"/>
        <v>0</v>
      </c>
      <c r="F161" s="285">
        <f t="shared" si="27"/>
        <v>0</v>
      </c>
      <c r="G161" s="285">
        <f t="shared" si="27"/>
        <v>0</v>
      </c>
      <c r="H161" s="285">
        <f t="shared" si="27"/>
        <v>0</v>
      </c>
    </row>
    <row r="162" spans="1:20" hidden="1">
      <c r="A162" s="95">
        <f t="shared" ref="A162:A165" si="28">A110</f>
        <v>0</v>
      </c>
      <c r="B162" s="285">
        <f t="shared" ref="B162:H162" si="29">B110-(B110*$G$7)</f>
        <v>0</v>
      </c>
      <c r="C162" s="285">
        <f t="shared" si="29"/>
        <v>0</v>
      </c>
      <c r="D162" s="285">
        <f t="shared" si="29"/>
        <v>0</v>
      </c>
      <c r="E162" s="285">
        <f t="shared" si="29"/>
        <v>0</v>
      </c>
      <c r="F162" s="285">
        <f t="shared" si="29"/>
        <v>0</v>
      </c>
      <c r="G162" s="285">
        <f t="shared" si="29"/>
        <v>0</v>
      </c>
      <c r="H162" s="285">
        <f t="shared" si="29"/>
        <v>0</v>
      </c>
    </row>
    <row r="163" spans="1:20" hidden="1">
      <c r="A163" s="95">
        <f t="shared" si="28"/>
        <v>0</v>
      </c>
      <c r="B163" s="285">
        <f t="shared" ref="B163:H163" si="30">B111-(B111*$G$7)</f>
        <v>0</v>
      </c>
      <c r="C163" s="285">
        <f t="shared" si="30"/>
        <v>0</v>
      </c>
      <c r="D163" s="285">
        <f t="shared" si="30"/>
        <v>0</v>
      </c>
      <c r="E163" s="285">
        <f t="shared" si="30"/>
        <v>0</v>
      </c>
      <c r="F163" s="285">
        <f t="shared" si="30"/>
        <v>0</v>
      </c>
      <c r="G163" s="285">
        <f t="shared" si="30"/>
        <v>0</v>
      </c>
      <c r="H163" s="285">
        <f t="shared" si="30"/>
        <v>0</v>
      </c>
    </row>
    <row r="164" spans="1:20" hidden="1">
      <c r="A164" s="95">
        <f t="shared" si="28"/>
        <v>0</v>
      </c>
      <c r="B164" s="285">
        <f t="shared" ref="B164:H165" si="31">B112-(B112*$G$7)</f>
        <v>0</v>
      </c>
      <c r="C164" s="285">
        <f t="shared" si="31"/>
        <v>0</v>
      </c>
      <c r="D164" s="285">
        <f t="shared" si="31"/>
        <v>0</v>
      </c>
      <c r="E164" s="285">
        <f t="shared" si="31"/>
        <v>0</v>
      </c>
      <c r="F164" s="285">
        <f t="shared" si="31"/>
        <v>0</v>
      </c>
      <c r="G164" s="285">
        <f t="shared" si="31"/>
        <v>0</v>
      </c>
      <c r="H164" s="285">
        <f t="shared" si="31"/>
        <v>0</v>
      </c>
    </row>
    <row r="165" spans="1:20" hidden="1">
      <c r="A165" s="95" t="str">
        <f t="shared" si="28"/>
        <v>Pomegranate</v>
      </c>
      <c r="B165" s="285">
        <f t="shared" si="31"/>
        <v>0</v>
      </c>
      <c r="C165" s="285">
        <f t="shared" ref="C165:H168" si="32">C113-(C113*$G$7)</f>
        <v>0</v>
      </c>
      <c r="D165" s="285">
        <f t="shared" si="32"/>
        <v>0</v>
      </c>
      <c r="E165" s="285">
        <f t="shared" si="32"/>
        <v>0</v>
      </c>
      <c r="F165" s="285">
        <f t="shared" si="32"/>
        <v>0</v>
      </c>
      <c r="G165" s="285">
        <f t="shared" si="32"/>
        <v>0</v>
      </c>
      <c r="H165" s="285">
        <f t="shared" si="32"/>
        <v>0</v>
      </c>
    </row>
    <row r="166" spans="1:20" hidden="1">
      <c r="A166" s="95" t="str">
        <f>A114</f>
        <v>Custard Apple</v>
      </c>
      <c r="B166" s="285">
        <f>B114-(B114*$G$7)</f>
        <v>0</v>
      </c>
      <c r="C166" s="285">
        <f t="shared" si="32"/>
        <v>0</v>
      </c>
      <c r="D166" s="285">
        <f t="shared" si="32"/>
        <v>0</v>
      </c>
      <c r="E166" s="285">
        <f t="shared" si="32"/>
        <v>0</v>
      </c>
      <c r="F166" s="285">
        <f t="shared" si="32"/>
        <v>0</v>
      </c>
      <c r="G166" s="285">
        <f t="shared" si="32"/>
        <v>0</v>
      </c>
      <c r="H166" s="285">
        <f t="shared" si="32"/>
        <v>0</v>
      </c>
    </row>
    <row r="167" spans="1:20" hidden="1">
      <c r="A167" s="95" t="str">
        <f>A115</f>
        <v>Guava</v>
      </c>
      <c r="B167" s="285">
        <f>B115-(B115*$G$7)</f>
        <v>0</v>
      </c>
      <c r="C167" s="285">
        <f t="shared" si="32"/>
        <v>0</v>
      </c>
      <c r="D167" s="285">
        <f t="shared" si="32"/>
        <v>0</v>
      </c>
      <c r="E167" s="285">
        <f t="shared" si="32"/>
        <v>0</v>
      </c>
      <c r="F167" s="285">
        <f t="shared" si="32"/>
        <v>0</v>
      </c>
      <c r="G167" s="285">
        <f t="shared" si="32"/>
        <v>0</v>
      </c>
      <c r="H167" s="285">
        <f t="shared" si="32"/>
        <v>0</v>
      </c>
    </row>
    <row r="168" spans="1:20" hidden="1">
      <c r="A168" s="95" t="str">
        <f>A116</f>
        <v>Citrus</v>
      </c>
      <c r="B168" s="285">
        <f>B116-(B116*$G$7)</f>
        <v>0</v>
      </c>
      <c r="C168" s="285">
        <f t="shared" si="32"/>
        <v>0</v>
      </c>
      <c r="D168" s="285">
        <f t="shared" si="32"/>
        <v>0</v>
      </c>
      <c r="E168" s="285">
        <f t="shared" si="32"/>
        <v>0</v>
      </c>
      <c r="F168" s="285">
        <f t="shared" si="32"/>
        <v>0</v>
      </c>
      <c r="G168" s="285">
        <f t="shared" si="32"/>
        <v>0</v>
      </c>
      <c r="H168" s="285">
        <f t="shared" si="32"/>
        <v>0</v>
      </c>
    </row>
    <row r="169" spans="1:20">
      <c r="A169" s="183"/>
    </row>
    <row r="170" spans="1:20" ht="17.5">
      <c r="A170" s="473" t="s">
        <v>578</v>
      </c>
      <c r="B170" s="473"/>
      <c r="C170" s="473"/>
      <c r="D170" s="473"/>
      <c r="E170" s="473"/>
      <c r="F170" s="473"/>
      <c r="G170" s="473"/>
      <c r="H170" s="473"/>
      <c r="I170" s="473"/>
      <c r="J170" s="473"/>
    </row>
    <row r="171" spans="1:20">
      <c r="A171" s="16"/>
      <c r="B171" s="16"/>
      <c r="C171" s="16"/>
      <c r="D171" s="16"/>
      <c r="E171" s="16"/>
      <c r="F171" s="16"/>
      <c r="G171" s="16"/>
      <c r="H171" s="16"/>
    </row>
    <row r="172" spans="1:20">
      <c r="A172" s="193"/>
      <c r="B172" s="193"/>
      <c r="C172" s="193"/>
      <c r="D172" s="194">
        <v>1</v>
      </c>
      <c r="E172" s="195">
        <f>(D172*5%)+D172</f>
        <v>1.05</v>
      </c>
      <c r="F172" s="195">
        <f t="shared" ref="F172:J172" si="33">(E172*5%)+E172</f>
        <v>1.1025</v>
      </c>
      <c r="G172" s="195">
        <f t="shared" si="33"/>
        <v>1.1576250000000001</v>
      </c>
      <c r="H172" s="195">
        <f t="shared" si="33"/>
        <v>1.2155062500000002</v>
      </c>
      <c r="I172" s="195">
        <f t="shared" si="33"/>
        <v>1.2762815625000004</v>
      </c>
      <c r="J172" s="195">
        <f t="shared" si="33"/>
        <v>1.3400956406250004</v>
      </c>
      <c r="K172" s="90"/>
      <c r="L172" s="90"/>
      <c r="M172" s="90"/>
      <c r="N172" s="90"/>
      <c r="O172" s="90"/>
      <c r="P172" s="90"/>
      <c r="Q172" s="90"/>
      <c r="R172" s="90"/>
      <c r="S172" s="90"/>
      <c r="T172" s="90"/>
    </row>
    <row r="173" spans="1:20">
      <c r="A173" s="90"/>
      <c r="B173" s="90"/>
      <c r="C173" s="90"/>
      <c r="D173" s="90"/>
      <c r="E173" s="90"/>
      <c r="F173" s="90"/>
      <c r="G173" s="90"/>
      <c r="H173" s="90"/>
      <c r="I173" s="90"/>
      <c r="J173" s="90"/>
      <c r="K173" s="90"/>
      <c r="L173" s="90"/>
      <c r="M173" s="90"/>
      <c r="N173" s="90"/>
      <c r="O173" s="90"/>
      <c r="P173" s="90"/>
      <c r="Q173" s="90"/>
      <c r="R173" s="90"/>
      <c r="S173" s="90"/>
      <c r="T173" s="90"/>
    </row>
    <row r="174" spans="1:20">
      <c r="A174" s="90"/>
      <c r="B174" s="90"/>
      <c r="C174" s="90"/>
      <c r="D174" s="175"/>
      <c r="E174" s="175"/>
      <c r="F174" s="175"/>
      <c r="G174" s="175"/>
      <c r="H174" s="175"/>
      <c r="I174" s="175"/>
      <c r="J174" s="175"/>
      <c r="K174" s="90"/>
      <c r="L174" s="90"/>
    </row>
    <row r="175" spans="1:20">
      <c r="A175" s="79" t="s">
        <v>0</v>
      </c>
      <c r="B175" s="79"/>
      <c r="C175" s="79" t="s">
        <v>153</v>
      </c>
      <c r="D175" s="80" t="s">
        <v>2</v>
      </c>
      <c r="E175" s="80" t="s">
        <v>3</v>
      </c>
      <c r="F175" s="80" t="s">
        <v>4</v>
      </c>
      <c r="G175" s="80" t="s">
        <v>5</v>
      </c>
      <c r="H175" s="80" t="s">
        <v>6</v>
      </c>
      <c r="I175" s="80" t="s">
        <v>169</v>
      </c>
      <c r="J175" s="80" t="s">
        <v>168</v>
      </c>
      <c r="K175" s="90"/>
      <c r="L175" s="90"/>
    </row>
    <row r="176" spans="1:20">
      <c r="A176" s="97"/>
      <c r="B176" s="97"/>
      <c r="C176" s="97"/>
      <c r="D176" s="95"/>
      <c r="E176" s="95"/>
      <c r="F176" s="95"/>
      <c r="G176" s="95"/>
      <c r="H176" s="95"/>
      <c r="I176" s="95"/>
      <c r="J176" s="95"/>
      <c r="K176" s="90"/>
      <c r="L176" s="90"/>
    </row>
    <row r="177" spans="1:12">
      <c r="A177" s="97" t="s">
        <v>127</v>
      </c>
      <c r="B177" s="97"/>
      <c r="C177" s="97"/>
      <c r="D177" s="95"/>
      <c r="E177" s="95"/>
      <c r="F177" s="95"/>
      <c r="G177" s="95"/>
      <c r="H177" s="95"/>
      <c r="I177" s="95"/>
      <c r="J177" s="95"/>
      <c r="K177" s="90"/>
      <c r="L177" s="90"/>
    </row>
    <row r="178" spans="1:12">
      <c r="A178" s="95" t="str">
        <f>Output!B18</f>
        <v>Soybean</v>
      </c>
      <c r="B178" s="95" t="s">
        <v>357</v>
      </c>
      <c r="C178" s="421">
        <v>5500</v>
      </c>
      <c r="D178" s="200">
        <f>((1-'5.Closing Stock &amp; W Capital'!$D$16)*(B120))*$C178*D$172</f>
        <v>31693199.999999996</v>
      </c>
      <c r="E178" s="200">
        <f>(((1-'5.Closing Stock &amp; W Capital'!$D$16)*C120)+(('5.Closing Stock &amp; W Capital'!$D$16)*B120))*$C178*E$172</f>
        <v>38116732.5</v>
      </c>
      <c r="F178" s="200">
        <f>(((1-'5.Closing Stock &amp; W Capital'!$D$16)*D120)+(('5.Closing Stock &amp; W Capital'!$D$16)*C120))*$C178*F$172</f>
        <v>44479425.375</v>
      </c>
      <c r="G178" s="200">
        <f>(((1-'5.Closing Stock &amp; W Capital'!$D$16)*E120)+(('5.Closing Stock &amp; W Capital'!$D$16)*D120))*$C178*G$172</f>
        <v>51383095.706250004</v>
      </c>
      <c r="H178" s="200">
        <f>(((1-'5.Closing Stock &amp; W Capital'!$D$16)*F120)+(('5.Closing Stock &amp; W Capital'!$D$16)*E120))*$C178*H$172</f>
        <v>58865934.507187523</v>
      </c>
      <c r="I178" s="200">
        <f>(((1-'5.Closing Stock &amp; W Capital'!$D$16)*G120)+(('5.Closing Stock &amp; W Capital'!$D$16)*F120))*$C178*I$172</f>
        <v>66968599.448953137</v>
      </c>
      <c r="J178" s="200">
        <f>(((1-'5.Closing Stock &amp; W Capital'!$D$16)*H120)+(('5.Closing Stock &amp; W Capital'!$D$16)*G120))*$C178*J$172</f>
        <v>75734366.048627362</v>
      </c>
      <c r="K178" s="90"/>
      <c r="L178" s="90"/>
    </row>
    <row r="179" spans="1:12">
      <c r="A179" s="95" t="str">
        <f>Output!B19</f>
        <v>Red Gram</v>
      </c>
      <c r="B179" s="95" t="s">
        <v>357</v>
      </c>
      <c r="C179" s="421">
        <v>6500</v>
      </c>
      <c r="D179" s="200">
        <f>((1-'5.Closing Stock &amp; W Capital'!$D$16)*(B121))*$C179*D$172</f>
        <v>12453986.999999998</v>
      </c>
      <c r="E179" s="200">
        <f>(((1-'5.Closing Stock &amp; W Capital'!$D$16)*C121)+(('5.Closing Stock &amp; W Capital'!$D$16)*B121))*$C179*E$172</f>
        <v>14978143.293750001</v>
      </c>
      <c r="F179" s="200">
        <f>(((1-'5.Closing Stock &amp; W Capital'!$D$16)*D121)+(('5.Closing Stock &amp; W Capital'!$D$16)*C121))*$C179*F$172</f>
        <v>17478392.380312502</v>
      </c>
      <c r="G179" s="200">
        <f>(((1-'5.Closing Stock &amp; W Capital'!$D$16)*E121)+(('5.Closing Stock &amp; W Capital'!$D$16)*D121))*$C179*G$172</f>
        <v>20191221.017296877</v>
      </c>
      <c r="H179" s="200">
        <f>(((1-'5.Closing Stock &amp; W Capital'!$D$16)*F121)+(('5.Closing Stock &amp; W Capital'!$D$16)*E121))*$C179*H$172</f>
        <v>23131636.537028912</v>
      </c>
      <c r="I179" s="200">
        <f>(((1-'5.Closing Stock &amp; W Capital'!$D$16)*G121)+(('5.Closing Stock &amp; W Capital'!$D$16)*F121))*$C179*I$172</f>
        <v>26315615.556190904</v>
      </c>
      <c r="J179" s="200">
        <f>(((1-'5.Closing Stock &amp; W Capital'!$D$16)*H121)+(('5.Closing Stock &amp; W Capital'!$D$16)*G121))*$C179*J$172</f>
        <v>29760163.385926537</v>
      </c>
      <c r="K179" s="90"/>
      <c r="L179" s="90"/>
    </row>
    <row r="180" spans="1:12">
      <c r="A180" s="95" t="s">
        <v>391</v>
      </c>
      <c r="B180" s="95" t="s">
        <v>357</v>
      </c>
      <c r="C180" s="421">
        <v>2000</v>
      </c>
      <c r="D180" s="200">
        <f>((1-'5.Closing Stock &amp; W Capital'!$D$16)*(B129))*$C180*D$172</f>
        <v>1728720</v>
      </c>
      <c r="E180" s="200">
        <f>(((1-'5.Closing Stock &amp; W Capital'!$D$16)*C129)+(('5.Closing Stock &amp; W Capital'!$D$16)*B129))*$C180*E$172</f>
        <v>2079094.5</v>
      </c>
      <c r="F180" s="200">
        <f>(((1-'5.Closing Stock &amp; W Capital'!$D$16)*D129)+(('5.Closing Stock &amp; W Capital'!$D$16)*C129))*$C180*F$172</f>
        <v>2426150.4750000001</v>
      </c>
      <c r="G180" s="200">
        <f>(((1-'5.Closing Stock &amp; W Capital'!$D$16)*E129)+(('5.Closing Stock &amp; W Capital'!$D$16)*D129))*$C180*G$172</f>
        <v>2802714.3112499998</v>
      </c>
      <c r="H180" s="200">
        <f>(((1-'5.Closing Stock &amp; W Capital'!$D$16)*F129)+(('5.Closing Stock &amp; W Capital'!$D$16)*E129))*$C180*H$172</f>
        <v>3210869.1549375011</v>
      </c>
      <c r="I180" s="200">
        <f>(((1-'5.Closing Stock &amp; W Capital'!$D$16)*G129)+(('5.Closing Stock &amp; W Capital'!$D$16)*F129))*$C180*I$172</f>
        <v>3652832.6972156265</v>
      </c>
      <c r="J180" s="200">
        <f>(((1-'5.Closing Stock &amp; W Capital'!$D$16)*H129)+(('5.Closing Stock &amp; W Capital'!$D$16)*G129))*$C180*J$172</f>
        <v>4130965.4208342205</v>
      </c>
      <c r="K180" s="90"/>
      <c r="L180" s="90"/>
    </row>
    <row r="181" spans="1:12">
      <c r="A181" s="95" t="str">
        <f>Output!B20</f>
        <v>Bengal Gram</v>
      </c>
      <c r="B181" s="95" t="s">
        <v>357</v>
      </c>
      <c r="C181" s="421">
        <v>5500</v>
      </c>
      <c r="D181" s="200">
        <f>((1-'5.Closing Stock &amp; W Capital'!$D$16)*(B130))*$C181*D$172</f>
        <v>10036180</v>
      </c>
      <c r="E181" s="200">
        <f>(((1-'5.Closing Stock &amp; W Capital'!$D$16)*C130)+(('5.Closing Stock &amp; W Capital'!$D$16)*B130))*$C181*E$172</f>
        <v>12070298.624999998</v>
      </c>
      <c r="F181" s="200">
        <f>(((1-'5.Closing Stock &amp; W Capital'!$D$16)*D130)+(('5.Closing Stock &amp; W Capital'!$D$16)*C130))*$C181*F$172</f>
        <v>14085151.368749999</v>
      </c>
      <c r="G181" s="200">
        <f>(((1-'5.Closing Stock &amp; W Capital'!$D$16)*E130)+(('5.Closing Stock &amp; W Capital'!$D$16)*D130))*$C181*G$172</f>
        <v>16271313.640312504</v>
      </c>
      <c r="H181" s="200">
        <f>(((1-'5.Closing Stock &amp; W Capital'!$D$16)*F130)+(('5.Closing Stock &amp; W Capital'!$D$16)*E130))*$C181*H$172</f>
        <v>18640879.260609381</v>
      </c>
      <c r="I181" s="200">
        <f>(((1-'5.Closing Stock &amp; W Capital'!$D$16)*G130)+(('5.Closing Stock &amp; W Capital'!$D$16)*F130))*$C181*I$172</f>
        <v>21206723.158835165</v>
      </c>
      <c r="J181" s="200">
        <f>(((1-'5.Closing Stock &amp; W Capital'!$D$16)*H130)+(('5.Closing Stock &amp; W Capital'!$D$16)*G130))*$C181*J$172</f>
        <v>23982549.248732004</v>
      </c>
      <c r="K181" s="90"/>
      <c r="L181" s="90"/>
    </row>
    <row r="182" spans="1:12">
      <c r="A182" s="97"/>
      <c r="B182" s="97"/>
      <c r="C182" s="97"/>
      <c r="D182" s="95"/>
      <c r="E182" s="95"/>
      <c r="F182" s="200"/>
      <c r="G182" s="200"/>
      <c r="H182" s="200"/>
      <c r="I182" s="200"/>
      <c r="J182" s="200"/>
      <c r="K182" s="90"/>
      <c r="L182" s="90"/>
    </row>
    <row r="183" spans="1:12">
      <c r="A183" s="97" t="s">
        <v>761</v>
      </c>
      <c r="B183" s="95" t="s">
        <v>357</v>
      </c>
      <c r="C183" s="421">
        <v>80</v>
      </c>
      <c r="D183" s="191">
        <f>B65*$C$183*D172</f>
        <v>2590800</v>
      </c>
      <c r="E183" s="191">
        <f t="shared" ref="E183:J183" si="34">C65*$C$183*E172</f>
        <v>3060382.5</v>
      </c>
      <c r="F183" s="191">
        <f t="shared" si="34"/>
        <v>3570446.25</v>
      </c>
      <c r="G183" s="191">
        <f t="shared" si="34"/>
        <v>4123865.4187500007</v>
      </c>
      <c r="H183" s="191">
        <f t="shared" si="34"/>
        <v>4723700.3887500009</v>
      </c>
      <c r="I183" s="191">
        <f t="shared" si="34"/>
        <v>5373209.1922031268</v>
      </c>
      <c r="J183" s="191">
        <f t="shared" si="34"/>
        <v>6075859.6250296896</v>
      </c>
      <c r="K183" s="90"/>
      <c r="L183" s="90"/>
    </row>
    <row r="184" spans="1:12">
      <c r="A184" s="97"/>
      <c r="B184" s="97"/>
      <c r="C184" s="97"/>
      <c r="D184" s="95"/>
      <c r="E184" s="95"/>
      <c r="F184" s="200"/>
      <c r="G184" s="200"/>
      <c r="H184" s="200"/>
      <c r="I184" s="200"/>
      <c r="J184" s="200"/>
      <c r="K184" s="90"/>
      <c r="L184" s="90"/>
    </row>
    <row r="185" spans="1:12">
      <c r="A185" s="97" t="s">
        <v>144</v>
      </c>
      <c r="B185" s="97"/>
      <c r="C185" s="97"/>
      <c r="D185" s="422">
        <f t="shared" ref="D185:J185" si="35">SUM(D178:D183)</f>
        <v>58502886.999999993</v>
      </c>
      <c r="E185" s="422">
        <f t="shared" si="35"/>
        <v>70304651.418750003</v>
      </c>
      <c r="F185" s="422">
        <f t="shared" si="35"/>
        <v>82039565.849062502</v>
      </c>
      <c r="G185" s="422">
        <f t="shared" si="35"/>
        <v>94772210.093859389</v>
      </c>
      <c r="H185" s="422">
        <f t="shared" si="35"/>
        <v>108573019.84851332</v>
      </c>
      <c r="I185" s="422">
        <f t="shared" si="35"/>
        <v>123516980.05339798</v>
      </c>
      <c r="J185" s="422">
        <f t="shared" si="35"/>
        <v>139683903.72914979</v>
      </c>
      <c r="K185" s="90"/>
      <c r="L185" s="90"/>
    </row>
    <row r="186" spans="1:12">
      <c r="A186" s="95"/>
      <c r="B186" s="95"/>
      <c r="C186" s="95"/>
      <c r="D186" s="95"/>
      <c r="E186" s="95"/>
      <c r="F186" s="95"/>
      <c r="G186" s="95"/>
      <c r="H186" s="95"/>
      <c r="I186" s="95"/>
      <c r="J186" s="95"/>
      <c r="K186" s="90"/>
      <c r="L186" s="90"/>
    </row>
    <row r="187" spans="1:12">
      <c r="A187" s="97" t="s">
        <v>143</v>
      </c>
      <c r="B187" s="97"/>
      <c r="C187" s="97"/>
      <c r="D187" s="95"/>
      <c r="E187" s="95"/>
      <c r="F187" s="95"/>
      <c r="G187" s="95"/>
      <c r="H187" s="95"/>
      <c r="I187" s="95"/>
      <c r="J187" s="95"/>
      <c r="K187" s="90"/>
      <c r="L187" s="90"/>
    </row>
    <row r="188" spans="1:12">
      <c r="A188" s="97" t="s">
        <v>307</v>
      </c>
      <c r="B188" s="97"/>
      <c r="C188" s="95"/>
      <c r="D188" s="95"/>
      <c r="E188" s="95"/>
      <c r="F188" s="95"/>
      <c r="G188" s="95"/>
      <c r="H188" s="95"/>
      <c r="I188" s="95"/>
      <c r="J188" s="95"/>
      <c r="K188" s="90"/>
      <c r="L188" s="90"/>
    </row>
    <row r="189" spans="1:12">
      <c r="A189" s="95" t="str">
        <f>A178</f>
        <v>Soybean</v>
      </c>
      <c r="B189" s="95" t="s">
        <v>357</v>
      </c>
      <c r="C189" s="191">
        <v>5000</v>
      </c>
      <c r="D189" s="191">
        <f>(B68)*$C189*D$172</f>
        <v>30000000</v>
      </c>
      <c r="E189" s="191">
        <f t="shared" ref="E189:J189" si="36">(C68)*$C189*E$172</f>
        <v>35437500</v>
      </c>
      <c r="F189" s="191">
        <f t="shared" si="36"/>
        <v>41343750</v>
      </c>
      <c r="G189" s="191">
        <f t="shared" si="36"/>
        <v>47752031.250000007</v>
      </c>
      <c r="H189" s="191">
        <f t="shared" si="36"/>
        <v>54697781.250000007</v>
      </c>
      <c r="I189" s="191">
        <f t="shared" si="36"/>
        <v>62218726.171875015</v>
      </c>
      <c r="J189" s="191">
        <f t="shared" si="36"/>
        <v>70355021.132812515</v>
      </c>
      <c r="K189" s="90"/>
      <c r="L189" s="90"/>
    </row>
    <row r="190" spans="1:12">
      <c r="A190" s="95" t="str">
        <f>A179</f>
        <v>Red Gram</v>
      </c>
      <c r="B190" s="95" t="s">
        <v>357</v>
      </c>
      <c r="C190" s="191">
        <v>6000</v>
      </c>
      <c r="D190" s="191">
        <f>(B69)*$C190*D$172</f>
        <v>11970000</v>
      </c>
      <c r="E190" s="191">
        <f t="shared" ref="E190:J190" si="37">(C69)*$C190*E$172</f>
        <v>14139562.5</v>
      </c>
      <c r="F190" s="191">
        <f t="shared" si="37"/>
        <v>16496156.25</v>
      </c>
      <c r="G190" s="191">
        <f t="shared" si="37"/>
        <v>19053060.468750004</v>
      </c>
      <c r="H190" s="191">
        <f t="shared" si="37"/>
        <v>21824414.718750007</v>
      </c>
      <c r="I190" s="191">
        <f t="shared" si="37"/>
        <v>24825271.742578138</v>
      </c>
      <c r="J190" s="191">
        <f t="shared" si="37"/>
        <v>28071653.431992203</v>
      </c>
      <c r="K190" s="90"/>
      <c r="L190" s="90"/>
    </row>
    <row r="191" spans="1:12">
      <c r="A191" s="95" t="str">
        <f>A180</f>
        <v>Wheat</v>
      </c>
      <c r="B191" s="95" t="s">
        <v>357</v>
      </c>
      <c r="C191" s="191">
        <v>1750</v>
      </c>
      <c r="D191" s="191">
        <f>(B77)*$C191*D$172</f>
        <v>1575000</v>
      </c>
      <c r="E191" s="191">
        <f t="shared" ref="E191:J191" si="38">(C77)*$C191*E$172</f>
        <v>1860468.75</v>
      </c>
      <c r="F191" s="191">
        <f t="shared" si="38"/>
        <v>2170546.875</v>
      </c>
      <c r="G191" s="191">
        <f t="shared" si="38"/>
        <v>2506981.6406250005</v>
      </c>
      <c r="H191" s="191">
        <f t="shared" si="38"/>
        <v>2871633.5156250009</v>
      </c>
      <c r="I191" s="191">
        <f t="shared" si="38"/>
        <v>3266483.1240234389</v>
      </c>
      <c r="J191" s="191">
        <f t="shared" si="38"/>
        <v>3693638.6094726585</v>
      </c>
      <c r="K191" s="90"/>
      <c r="L191" s="90"/>
    </row>
    <row r="192" spans="1:12">
      <c r="A192" s="95" t="str">
        <f>A181</f>
        <v>Bengal Gram</v>
      </c>
      <c r="B192" s="95" t="s">
        <v>357</v>
      </c>
      <c r="C192" s="191">
        <v>5000</v>
      </c>
      <c r="D192" s="191">
        <f>(B78)*$C192*D$172</f>
        <v>9500000</v>
      </c>
      <c r="E192" s="191">
        <f t="shared" ref="E192:J192" si="39">(C78)*$C192*E$172</f>
        <v>11221875</v>
      </c>
      <c r="F192" s="191">
        <f t="shared" si="39"/>
        <v>13092187.5</v>
      </c>
      <c r="G192" s="191">
        <f t="shared" si="39"/>
        <v>15121476.562500002</v>
      </c>
      <c r="H192" s="191">
        <f t="shared" si="39"/>
        <v>17320964.062500004</v>
      </c>
      <c r="I192" s="191">
        <f t="shared" si="39"/>
        <v>19702596.621093757</v>
      </c>
      <c r="J192" s="191">
        <f t="shared" si="39"/>
        <v>22279090.025390636</v>
      </c>
      <c r="K192" s="90"/>
      <c r="L192" s="90"/>
    </row>
    <row r="193" spans="1:20">
      <c r="A193" s="95" t="s">
        <v>308</v>
      </c>
      <c r="B193" s="95">
        <v>5</v>
      </c>
      <c r="C193" s="95">
        <v>300</v>
      </c>
      <c r="D193" s="191">
        <f>B10*$B$193*$C$193*D172</f>
        <v>287866.66666666663</v>
      </c>
      <c r="E193" s="191">
        <f t="shared" ref="E193:J193" si="40">C10*$B$193*$C$193*E172</f>
        <v>340042.5</v>
      </c>
      <c r="F193" s="191">
        <f t="shared" si="40"/>
        <v>396716.25</v>
      </c>
      <c r="G193" s="191">
        <f t="shared" si="40"/>
        <v>458207.26875000005</v>
      </c>
      <c r="H193" s="191">
        <f t="shared" si="40"/>
        <v>524855.59875000012</v>
      </c>
      <c r="I193" s="191">
        <f t="shared" si="40"/>
        <v>597023.24357812526</v>
      </c>
      <c r="J193" s="191">
        <f t="shared" si="40"/>
        <v>675095.51389218762</v>
      </c>
      <c r="K193" s="90"/>
      <c r="L193" s="90"/>
    </row>
    <row r="194" spans="1:20">
      <c r="A194" s="95" t="s">
        <v>145</v>
      </c>
      <c r="B194" s="95">
        <f>'2.Capex Details'!H47*0.746*8</f>
        <v>107.42400000000001</v>
      </c>
      <c r="C194" s="95">
        <v>8</v>
      </c>
      <c r="D194" s="191">
        <f>B10*$B$194*$C$194*D172</f>
        <v>164926.87359999999</v>
      </c>
      <c r="E194" s="191">
        <f t="shared" ref="E194:J194" si="41">C10*$B$194*$C$194*E172</f>
        <v>194819.86944000004</v>
      </c>
      <c r="F194" s="191">
        <f t="shared" si="41"/>
        <v>227289.84768000001</v>
      </c>
      <c r="G194" s="191">
        <f t="shared" si="41"/>
        <v>262519.77407040005</v>
      </c>
      <c r="H194" s="191">
        <f t="shared" si="41"/>
        <v>300704.46848064009</v>
      </c>
      <c r="I194" s="191">
        <f t="shared" si="41"/>
        <v>342051.33289672813</v>
      </c>
      <c r="J194" s="191">
        <f t="shared" si="41"/>
        <v>386781.12258322333</v>
      </c>
      <c r="K194" s="90"/>
      <c r="L194" s="90">
        <f>55*0.746</f>
        <v>41.03</v>
      </c>
    </row>
    <row r="195" spans="1:20">
      <c r="A195" s="95" t="s">
        <v>725</v>
      </c>
      <c r="B195" s="95"/>
      <c r="C195" s="95"/>
      <c r="D195" s="191"/>
      <c r="E195" s="191"/>
      <c r="F195" s="191"/>
      <c r="G195" s="191"/>
      <c r="H195" s="191"/>
      <c r="I195" s="191"/>
      <c r="J195" s="191"/>
      <c r="K195" s="90"/>
      <c r="L195" s="90"/>
    </row>
    <row r="196" spans="1:20">
      <c r="A196" s="95" t="s">
        <v>295</v>
      </c>
      <c r="B196" s="95"/>
      <c r="C196" s="95">
        <v>30</v>
      </c>
      <c r="D196" s="191">
        <f>(SUM(B120:B130))*$C$196*D172</f>
        <v>317373</v>
      </c>
      <c r="E196" s="191">
        <f>(SUM(C120:C130))*$C$196*E172</f>
        <v>374896.85625000001</v>
      </c>
      <c r="F196" s="191">
        <f t="shared" ref="F196:J196" si="42">(SUM(D120:D130))*$C$196*F172</f>
        <v>437379.66562500002</v>
      </c>
      <c r="G196" s="191">
        <f t="shared" si="42"/>
        <v>505173.51379687508</v>
      </c>
      <c r="H196" s="191">
        <f t="shared" si="42"/>
        <v>578653.29762187519</v>
      </c>
      <c r="I196" s="191">
        <f t="shared" si="42"/>
        <v>658218.12604488304</v>
      </c>
      <c r="J196" s="191">
        <f t="shared" si="42"/>
        <v>744292.80406613706</v>
      </c>
      <c r="K196" s="90"/>
      <c r="L196" s="90"/>
    </row>
    <row r="197" spans="1:20">
      <c r="A197" s="95" t="s">
        <v>747</v>
      </c>
      <c r="B197" s="281"/>
      <c r="C197" s="95">
        <v>40</v>
      </c>
      <c r="D197" s="191">
        <f>(SUM(B120:B130))*$C$197*D172</f>
        <v>423164</v>
      </c>
      <c r="E197" s="191">
        <f t="shared" ref="E197:J197" si="43">(SUM(C120:C130))*$C$197*E172</f>
        <v>499862.47500000003</v>
      </c>
      <c r="F197" s="191">
        <f t="shared" si="43"/>
        <v>583172.88750000007</v>
      </c>
      <c r="G197" s="191">
        <f t="shared" si="43"/>
        <v>673564.68506250007</v>
      </c>
      <c r="H197" s="191">
        <f t="shared" si="43"/>
        <v>771537.73016250017</v>
      </c>
      <c r="I197" s="191">
        <f t="shared" si="43"/>
        <v>877624.16805984417</v>
      </c>
      <c r="J197" s="191">
        <f t="shared" si="43"/>
        <v>992390.40542151604</v>
      </c>
      <c r="K197" s="90"/>
      <c r="L197" s="90"/>
    </row>
    <row r="198" spans="1:20">
      <c r="A198" s="281"/>
      <c r="B198" s="281"/>
      <c r="C198" s="281"/>
      <c r="D198" s="430"/>
      <c r="E198" s="281"/>
      <c r="F198" s="281"/>
      <c r="G198" s="281"/>
      <c r="H198" s="281"/>
      <c r="I198" s="281"/>
      <c r="J198" s="281"/>
      <c r="K198" s="90">
        <f>63/0.746</f>
        <v>84.450402144772113</v>
      </c>
      <c r="L198" s="90"/>
    </row>
    <row r="199" spans="1:20">
      <c r="A199" s="281"/>
      <c r="B199" s="281"/>
      <c r="C199" s="281"/>
      <c r="D199" s="281"/>
      <c r="E199" s="281"/>
      <c r="F199" s="281"/>
      <c r="G199" s="281"/>
      <c r="H199" s="281"/>
      <c r="I199" s="281"/>
      <c r="J199" s="281"/>
      <c r="K199" s="90"/>
      <c r="L199" s="90"/>
    </row>
    <row r="200" spans="1:20">
      <c r="A200" s="95" t="s">
        <v>336</v>
      </c>
      <c r="B200" s="95"/>
      <c r="C200" s="95"/>
      <c r="D200" s="200"/>
      <c r="E200" s="200">
        <f>'5.Closing Stock &amp; W Capital'!F7</f>
        <v>1084766.6108053334</v>
      </c>
      <c r="F200" s="200">
        <f>'5.Closing Stock &amp; W Capital'!G7</f>
        <v>1281380.5590138</v>
      </c>
      <c r="G200" s="200">
        <f>'5.Closing Stock &amp; W Capital'!H7</f>
        <v>1494943.9855161002</v>
      </c>
      <c r="H200" s="200">
        <f>'5.Closing Stock &amp; W Capital'!I7</f>
        <v>1726660.3032710957</v>
      </c>
      <c r="I200" s="200">
        <f>'5.Closing Stock &amp; W Capital'!J7</f>
        <v>1977810.8928378008</v>
      </c>
      <c r="J200" s="200">
        <f>'5.Closing Stock &amp; W Capital'!K7</f>
        <v>2249759.890602998</v>
      </c>
      <c r="K200" s="90"/>
      <c r="L200" s="90"/>
    </row>
    <row r="201" spans="1:20">
      <c r="A201" s="95" t="s">
        <v>337</v>
      </c>
      <c r="B201" s="95"/>
      <c r="C201" s="200"/>
      <c r="D201" s="200">
        <f>'5.Closing Stock &amp; W Capital'!E16</f>
        <v>1084766.6108053334</v>
      </c>
      <c r="E201" s="200">
        <f>'5.Closing Stock &amp; W Capital'!F16</f>
        <v>1281380.5590138</v>
      </c>
      <c r="F201" s="200">
        <f>'5.Closing Stock &amp; W Capital'!G16</f>
        <v>1494943.9855161002</v>
      </c>
      <c r="G201" s="200">
        <f>'5.Closing Stock &amp; W Capital'!H16</f>
        <v>1726660.3032710957</v>
      </c>
      <c r="H201" s="200">
        <f>'5.Closing Stock &amp; W Capital'!I16</f>
        <v>1977810.8928378008</v>
      </c>
      <c r="I201" s="200">
        <f>'5.Closing Stock &amp; W Capital'!J16</f>
        <v>2249759.890602998</v>
      </c>
      <c r="J201" s="200">
        <f>'5.Closing Stock &amp; W Capital'!K16</f>
        <v>2543959.2609126219</v>
      </c>
      <c r="K201" s="90"/>
      <c r="L201" s="90"/>
    </row>
    <row r="202" spans="1:20">
      <c r="A202" s="95"/>
      <c r="B202" s="95"/>
      <c r="C202" s="424"/>
      <c r="D202" s="200"/>
      <c r="E202" s="200"/>
      <c r="F202" s="200"/>
      <c r="G202" s="200"/>
      <c r="H202" s="200"/>
      <c r="I202" s="200"/>
      <c r="J202" s="200"/>
      <c r="K202" s="90"/>
      <c r="L202" s="90"/>
      <c r="M202" s="90"/>
      <c r="N202" s="90"/>
      <c r="O202" s="90"/>
      <c r="P202" s="90"/>
      <c r="Q202" s="90"/>
      <c r="R202" s="90"/>
      <c r="S202" s="90"/>
      <c r="T202" s="90"/>
    </row>
    <row r="203" spans="1:20">
      <c r="A203" s="97" t="s">
        <v>314</v>
      </c>
      <c r="B203" s="97"/>
      <c r="C203" s="97"/>
      <c r="D203" s="421">
        <f t="shared" ref="D203:J203" si="44">SUM(D189:D200)-D201</f>
        <v>53153563.92946133</v>
      </c>
      <c r="E203" s="421">
        <f t="shared" si="44"/>
        <v>63872414.002481535</v>
      </c>
      <c r="F203" s="421">
        <f t="shared" si="44"/>
        <v>74533635.849302709</v>
      </c>
      <c r="G203" s="421">
        <f t="shared" si="44"/>
        <v>86101298.845799789</v>
      </c>
      <c r="H203" s="421">
        <f t="shared" si="44"/>
        <v>98639394.052323326</v>
      </c>
      <c r="I203" s="421">
        <f t="shared" si="44"/>
        <v>112216045.53238472</v>
      </c>
      <c r="J203" s="421">
        <f t="shared" si="44"/>
        <v>126903763.67532144</v>
      </c>
      <c r="K203" s="90"/>
      <c r="L203" s="90"/>
      <c r="M203" s="90"/>
      <c r="N203" s="90"/>
      <c r="O203" s="90"/>
      <c r="P203" s="90"/>
      <c r="Q203" s="90"/>
      <c r="R203" s="90"/>
      <c r="S203" s="90"/>
      <c r="T203" s="90"/>
    </row>
    <row r="204" spans="1:20">
      <c r="A204" s="97" t="s">
        <v>306</v>
      </c>
      <c r="B204" s="95"/>
      <c r="C204" s="95"/>
      <c r="D204" s="425"/>
      <c r="E204" s="425"/>
      <c r="F204" s="425"/>
      <c r="G204" s="425"/>
      <c r="H204" s="425"/>
      <c r="I204" s="95"/>
      <c r="J204" s="95"/>
      <c r="K204" s="90"/>
      <c r="L204" s="90"/>
      <c r="M204" s="90"/>
      <c r="N204" s="90"/>
      <c r="O204" s="90"/>
      <c r="P204" s="90"/>
      <c r="Q204" s="90"/>
      <c r="R204" s="90"/>
      <c r="S204" s="90"/>
      <c r="T204" s="90"/>
    </row>
    <row r="205" spans="1:20">
      <c r="A205" s="95" t="s">
        <v>186</v>
      </c>
      <c r="B205" s="95">
        <v>1</v>
      </c>
      <c r="C205" s="191">
        <v>12000</v>
      </c>
      <c r="D205" s="191">
        <f>$B205*$C205*12*D$172</f>
        <v>144000</v>
      </c>
      <c r="E205" s="191">
        <f t="shared" ref="E205:J205" si="45">$B205*$C205*12*E$172</f>
        <v>151200</v>
      </c>
      <c r="F205" s="191">
        <f t="shared" si="45"/>
        <v>158760</v>
      </c>
      <c r="G205" s="191">
        <f t="shared" si="45"/>
        <v>166698.00000000003</v>
      </c>
      <c r="H205" s="191">
        <f t="shared" si="45"/>
        <v>175032.90000000002</v>
      </c>
      <c r="I205" s="191">
        <f t="shared" si="45"/>
        <v>183784.54500000004</v>
      </c>
      <c r="J205" s="191">
        <f t="shared" si="45"/>
        <v>192973.77225000007</v>
      </c>
      <c r="K205" s="90"/>
      <c r="L205" s="90"/>
      <c r="M205" s="90"/>
      <c r="N205" s="90"/>
      <c r="O205" s="90"/>
      <c r="P205" s="90"/>
      <c r="Q205" s="90"/>
      <c r="R205" s="90"/>
      <c r="S205" s="90"/>
      <c r="T205" s="90"/>
    </row>
    <row r="206" spans="1:20">
      <c r="A206" s="95"/>
      <c r="B206" s="95"/>
      <c r="C206" s="191"/>
      <c r="D206" s="191"/>
      <c r="E206" s="191"/>
      <c r="F206" s="191"/>
      <c r="G206" s="191"/>
      <c r="H206" s="191"/>
      <c r="I206" s="191"/>
      <c r="J206" s="191"/>
      <c r="K206" s="90"/>
      <c r="L206" s="90"/>
      <c r="M206" s="90"/>
      <c r="N206" s="90"/>
      <c r="O206" s="90"/>
      <c r="P206" s="90"/>
      <c r="Q206" s="90"/>
      <c r="R206" s="90"/>
      <c r="S206" s="90"/>
      <c r="T206" s="90"/>
    </row>
    <row r="207" spans="1:20">
      <c r="A207" s="95"/>
      <c r="B207" s="95"/>
      <c r="C207" s="191"/>
      <c r="D207" s="191"/>
      <c r="E207" s="191"/>
      <c r="F207" s="191"/>
      <c r="G207" s="191"/>
      <c r="H207" s="191"/>
      <c r="I207" s="191"/>
      <c r="J207" s="191"/>
      <c r="K207" s="90"/>
      <c r="L207" s="90"/>
      <c r="M207" s="90"/>
      <c r="N207" s="90"/>
      <c r="O207" s="90"/>
      <c r="P207" s="90"/>
      <c r="Q207" s="90"/>
      <c r="R207" s="90"/>
      <c r="S207" s="90"/>
      <c r="T207" s="90"/>
    </row>
    <row r="208" spans="1:20">
      <c r="A208" s="95"/>
      <c r="B208" s="95"/>
      <c r="C208" s="191"/>
      <c r="D208" s="191"/>
      <c r="E208" s="191"/>
      <c r="F208" s="191"/>
      <c r="G208" s="191"/>
      <c r="H208" s="191"/>
      <c r="I208" s="191"/>
      <c r="J208" s="191"/>
      <c r="K208" s="90"/>
      <c r="L208" s="90"/>
      <c r="M208" s="90"/>
      <c r="N208" s="90"/>
      <c r="O208" s="90"/>
      <c r="P208" s="90"/>
      <c r="Q208" s="90"/>
      <c r="R208" s="90"/>
      <c r="S208" s="90"/>
      <c r="T208" s="90"/>
    </row>
    <row r="209" spans="1:20">
      <c r="A209" s="97" t="s">
        <v>318</v>
      </c>
      <c r="B209" s="97"/>
      <c r="C209" s="97"/>
      <c r="D209" s="421">
        <f t="shared" ref="D209:J209" si="46">SUM(D205:D208)</f>
        <v>144000</v>
      </c>
      <c r="E209" s="421">
        <f t="shared" si="46"/>
        <v>151200</v>
      </c>
      <c r="F209" s="421">
        <f t="shared" si="46"/>
        <v>158760</v>
      </c>
      <c r="G209" s="421">
        <f t="shared" si="46"/>
        <v>166698.00000000003</v>
      </c>
      <c r="H209" s="421">
        <f t="shared" si="46"/>
        <v>175032.90000000002</v>
      </c>
      <c r="I209" s="421">
        <f t="shared" si="46"/>
        <v>183784.54500000004</v>
      </c>
      <c r="J209" s="421">
        <f t="shared" si="46"/>
        <v>192973.77225000007</v>
      </c>
      <c r="K209" s="90"/>
      <c r="L209" s="90"/>
      <c r="M209" s="90"/>
      <c r="N209" s="198"/>
      <c r="O209" s="90"/>
      <c r="P209" s="90"/>
      <c r="Q209" s="90"/>
      <c r="R209" s="90"/>
      <c r="S209" s="90"/>
      <c r="T209" s="90"/>
    </row>
    <row r="210" spans="1:20">
      <c r="A210" s="97" t="s">
        <v>130</v>
      </c>
      <c r="B210" s="97"/>
      <c r="C210" s="97"/>
      <c r="D210" s="421">
        <f t="shared" ref="D210:J210" si="47">D203+D209</f>
        <v>53297563.92946133</v>
      </c>
      <c r="E210" s="421">
        <f t="shared" si="47"/>
        <v>64023614.002481535</v>
      </c>
      <c r="F210" s="421">
        <f t="shared" si="47"/>
        <v>74692395.849302709</v>
      </c>
      <c r="G210" s="421">
        <f t="shared" si="47"/>
        <v>86267996.845799789</v>
      </c>
      <c r="H210" s="421">
        <f t="shared" si="47"/>
        <v>98814426.952323332</v>
      </c>
      <c r="I210" s="421">
        <f t="shared" si="47"/>
        <v>112399830.07738473</v>
      </c>
      <c r="J210" s="421">
        <f t="shared" si="47"/>
        <v>127096737.44757144</v>
      </c>
      <c r="K210" s="90"/>
      <c r="L210" s="90"/>
      <c r="M210" s="90"/>
      <c r="N210" s="90"/>
      <c r="O210" s="90"/>
      <c r="P210" s="90"/>
      <c r="Q210" s="90"/>
      <c r="R210" s="90"/>
      <c r="S210" s="90"/>
      <c r="T210" s="90"/>
    </row>
    <row r="211" spans="1:20">
      <c r="A211" s="95"/>
      <c r="B211" s="95"/>
      <c r="C211" s="95"/>
      <c r="D211" s="425"/>
      <c r="E211" s="425"/>
      <c r="F211" s="425"/>
      <c r="G211" s="425"/>
      <c r="H211" s="425"/>
      <c r="I211" s="95"/>
      <c r="J211" s="95"/>
      <c r="K211" s="90"/>
      <c r="L211" s="90"/>
      <c r="M211" s="90"/>
      <c r="N211" s="90"/>
      <c r="O211" s="90"/>
      <c r="P211" s="90"/>
      <c r="Q211" s="90"/>
      <c r="R211" s="90"/>
      <c r="S211" s="90"/>
      <c r="T211" s="90"/>
    </row>
    <row r="212" spans="1:20">
      <c r="A212" s="97"/>
      <c r="B212" s="97"/>
      <c r="C212" s="97"/>
      <c r="D212" s="425"/>
      <c r="E212" s="425"/>
      <c r="F212" s="425"/>
      <c r="G212" s="425"/>
      <c r="H212" s="425"/>
      <c r="I212" s="95"/>
      <c r="J212" s="95"/>
      <c r="K212" s="90"/>
      <c r="L212" s="90"/>
      <c r="M212" s="90"/>
      <c r="N212" s="90"/>
      <c r="O212" s="90"/>
      <c r="P212" s="90"/>
      <c r="Q212" s="90"/>
      <c r="R212" s="90"/>
      <c r="S212" s="90"/>
      <c r="T212" s="90"/>
    </row>
    <row r="213" spans="1:20">
      <c r="A213" s="97" t="s">
        <v>310</v>
      </c>
      <c r="B213" s="97"/>
      <c r="C213" s="97"/>
      <c r="D213" s="421">
        <f t="shared" ref="D213:J213" si="48">D185-D210</f>
        <v>5205323.0705386624</v>
      </c>
      <c r="E213" s="421">
        <f t="shared" si="48"/>
        <v>6281037.4162684679</v>
      </c>
      <c r="F213" s="421">
        <f t="shared" si="48"/>
        <v>7347169.9997597933</v>
      </c>
      <c r="G213" s="421">
        <f t="shared" si="48"/>
        <v>8504213.2480596006</v>
      </c>
      <c r="H213" s="421">
        <f t="shared" si="48"/>
        <v>9758592.8961899877</v>
      </c>
      <c r="I213" s="421">
        <f t="shared" si="48"/>
        <v>11117149.976013258</v>
      </c>
      <c r="J213" s="421">
        <f t="shared" si="48"/>
        <v>12587166.281578347</v>
      </c>
      <c r="K213" s="90"/>
      <c r="L213" s="90"/>
      <c r="M213" s="90"/>
      <c r="N213" s="90"/>
      <c r="O213" s="90"/>
      <c r="P213" s="90"/>
      <c r="Q213" s="90"/>
      <c r="R213" s="90"/>
      <c r="S213" s="90"/>
      <c r="T213" s="90"/>
    </row>
    <row r="214" spans="1:20">
      <c r="A214" s="90"/>
      <c r="B214" s="90"/>
      <c r="C214" s="90"/>
      <c r="D214" s="90"/>
      <c r="E214" s="90"/>
      <c r="F214" s="90"/>
      <c r="G214" s="90"/>
      <c r="H214" s="90"/>
      <c r="I214" s="90"/>
      <c r="J214" s="90"/>
    </row>
    <row r="215" spans="1:20">
      <c r="A215" s="90" t="s">
        <v>51</v>
      </c>
      <c r="B215" s="90"/>
      <c r="C215" s="90"/>
      <c r="D215" s="90"/>
      <c r="E215" s="90"/>
      <c r="F215" s="90"/>
      <c r="G215" s="90"/>
      <c r="H215" s="90"/>
      <c r="I215" s="90"/>
      <c r="J215" s="90"/>
    </row>
    <row r="216" spans="1:20">
      <c r="A216" s="472" t="s">
        <v>412</v>
      </c>
      <c r="B216" s="472"/>
      <c r="C216" s="472"/>
      <c r="D216" s="472"/>
      <c r="E216" s="472"/>
      <c r="F216" s="472"/>
      <c r="G216" s="472"/>
      <c r="H216" s="472"/>
      <c r="I216" s="472"/>
      <c r="J216" s="472"/>
    </row>
    <row r="218" spans="1:20">
      <c r="A218" t="s">
        <v>530</v>
      </c>
    </row>
    <row r="219" spans="1:20">
      <c r="A219">
        <v>1</v>
      </c>
      <c r="B219" t="s">
        <v>543</v>
      </c>
    </row>
    <row r="220" spans="1:20">
      <c r="A220">
        <v>2</v>
      </c>
      <c r="B220" t="s">
        <v>544</v>
      </c>
    </row>
    <row r="221" spans="1:20">
      <c r="A221">
        <v>3</v>
      </c>
      <c r="B221" s="90" t="s">
        <v>595</v>
      </c>
    </row>
  </sheetData>
  <mergeCells count="5">
    <mergeCell ref="A170:J170"/>
    <mergeCell ref="A2:H2"/>
    <mergeCell ref="A216:J216"/>
    <mergeCell ref="F4:H4"/>
    <mergeCell ref="A3:H3"/>
  </mergeCells>
  <pageMargins left="0.7" right="0.7" top="0.75" bottom="0.75" header="0.3" footer="0.3"/>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L214"/>
  <sheetViews>
    <sheetView view="pageBreakPreview" zoomScale="80" zoomScaleSheetLayoutView="80" workbookViewId="0">
      <selection activeCell="D13" sqref="D13"/>
    </sheetView>
  </sheetViews>
  <sheetFormatPr defaultRowHeight="14.5"/>
  <cols>
    <col min="1" max="1" width="41.7265625" bestFit="1" customWidth="1"/>
    <col min="2" max="2" width="10.54296875" customWidth="1"/>
    <col min="3" max="3" width="10.54296875" bestFit="1" customWidth="1"/>
    <col min="4" max="4" width="15.1796875" customWidth="1"/>
    <col min="5" max="8" width="17.26953125" customWidth="1"/>
    <col min="9" max="10" width="16.81640625" bestFit="1" customWidth="1"/>
    <col min="11" max="12" width="11.7265625" bestFit="1" customWidth="1"/>
    <col min="15" max="15" width="10.1796875" bestFit="1" customWidth="1"/>
  </cols>
  <sheetData>
    <row r="3" spans="1:8" ht="17.5">
      <c r="A3" s="473" t="s">
        <v>579</v>
      </c>
      <c r="B3" s="473"/>
      <c r="C3" s="473"/>
      <c r="D3" s="473"/>
      <c r="E3" s="473"/>
      <c r="F3" s="473"/>
      <c r="G3" s="473"/>
      <c r="H3" s="473"/>
    </row>
    <row r="4" spans="1:8" ht="17.5">
      <c r="A4" s="473" t="s">
        <v>580</v>
      </c>
      <c r="B4" s="473"/>
      <c r="C4" s="473"/>
      <c r="D4" s="473"/>
      <c r="E4" s="473"/>
      <c r="F4" s="473"/>
      <c r="G4" s="473"/>
      <c r="H4" s="473"/>
    </row>
    <row r="5" spans="1:8">
      <c r="A5" s="90" t="s">
        <v>161</v>
      </c>
      <c r="B5" s="237">
        <f>200/100</f>
        <v>2</v>
      </c>
      <c r="C5" s="90" t="s">
        <v>460</v>
      </c>
      <c r="D5" s="90"/>
      <c r="E5" s="90"/>
      <c r="F5" s="90"/>
      <c r="G5" s="90"/>
      <c r="H5" s="90"/>
    </row>
    <row r="6" spans="1:8">
      <c r="A6" s="90" t="s">
        <v>162</v>
      </c>
      <c r="B6" s="266">
        <v>8</v>
      </c>
      <c r="C6" s="90"/>
      <c r="D6" s="90"/>
      <c r="E6" s="90"/>
      <c r="F6" s="90"/>
      <c r="G6" s="90"/>
      <c r="H6" s="90"/>
    </row>
    <row r="7" spans="1:8">
      <c r="A7" s="90"/>
      <c r="B7" s="266"/>
      <c r="C7" s="90"/>
      <c r="D7" s="90"/>
      <c r="E7" s="90"/>
      <c r="F7" s="90"/>
      <c r="G7" s="90"/>
      <c r="H7" s="90"/>
    </row>
    <row r="8" spans="1:8">
      <c r="A8" s="90"/>
      <c r="B8" s="266"/>
      <c r="C8" s="90"/>
      <c r="D8" s="90"/>
      <c r="E8" s="90"/>
      <c r="F8" s="90"/>
      <c r="G8" s="90"/>
      <c r="H8" s="90"/>
    </row>
    <row r="9" spans="1:8">
      <c r="A9" s="90"/>
      <c r="B9" s="90"/>
      <c r="C9" s="90"/>
      <c r="D9" s="90"/>
      <c r="E9" s="90"/>
      <c r="F9" s="90"/>
      <c r="G9" s="90"/>
      <c r="H9" s="90"/>
    </row>
    <row r="10" spans="1:8">
      <c r="A10" s="90"/>
      <c r="B10" s="90"/>
      <c r="C10" s="90"/>
      <c r="D10" s="90"/>
      <c r="E10" s="90"/>
      <c r="F10" s="90"/>
      <c r="G10" s="90"/>
      <c r="H10" s="90"/>
    </row>
    <row r="11" spans="1:8">
      <c r="A11" s="79" t="s">
        <v>0</v>
      </c>
      <c r="B11" s="80" t="s">
        <v>2</v>
      </c>
      <c r="C11" s="80" t="s">
        <v>3</v>
      </c>
      <c r="D11" s="80" t="s">
        <v>4</v>
      </c>
      <c r="E11" s="80" t="s">
        <v>5</v>
      </c>
      <c r="F11" s="80" t="s">
        <v>6</v>
      </c>
      <c r="G11" s="80" t="s">
        <v>169</v>
      </c>
      <c r="H11" s="80" t="s">
        <v>168</v>
      </c>
    </row>
    <row r="12" spans="1:8">
      <c r="A12" s="91" t="s">
        <v>170</v>
      </c>
      <c r="B12" s="300">
        <f>B32/($B$5*$B$6)</f>
        <v>0</v>
      </c>
      <c r="C12" s="300">
        <f t="shared" ref="C12:H12" si="0">C32/($B$5*$B$6)</f>
        <v>0</v>
      </c>
      <c r="D12" s="300">
        <f t="shared" si="0"/>
        <v>0</v>
      </c>
      <c r="E12" s="300">
        <f t="shared" si="0"/>
        <v>0</v>
      </c>
      <c r="F12" s="300">
        <f t="shared" si="0"/>
        <v>0</v>
      </c>
      <c r="G12" s="300">
        <f t="shared" si="0"/>
        <v>0</v>
      </c>
      <c r="H12" s="300">
        <f t="shared" si="0"/>
        <v>0</v>
      </c>
    </row>
    <row r="13" spans="1:8">
      <c r="A13" s="91" t="str">
        <f>'10.Grain Production details'!A67</f>
        <v>Soybean</v>
      </c>
      <c r="B13" s="91">
        <f>'10.Grain Production details'!B67</f>
        <v>0</v>
      </c>
      <c r="C13" s="91">
        <f>'10.Grain Production details'!C67</f>
        <v>0</v>
      </c>
      <c r="D13" s="91">
        <f>'10.Grain Production details'!D67</f>
        <v>0</v>
      </c>
      <c r="E13" s="91">
        <f>'10.Grain Production details'!E67</f>
        <v>0</v>
      </c>
      <c r="F13" s="91">
        <f>'10.Grain Production details'!F67</f>
        <v>0</v>
      </c>
      <c r="G13" s="91">
        <f>'10.Grain Production details'!G67</f>
        <v>0</v>
      </c>
      <c r="H13" s="91">
        <f>'10.Grain Production details'!H67</f>
        <v>0</v>
      </c>
    </row>
    <row r="14" spans="1:8">
      <c r="A14" s="91" t="str">
        <f>'10.Grain Production details'!A68</f>
        <v>Red Gram/Tur</v>
      </c>
      <c r="B14" s="91">
        <f>'10.Grain Production details'!B68</f>
        <v>0</v>
      </c>
      <c r="C14" s="91">
        <f>'10.Grain Production details'!C68</f>
        <v>0</v>
      </c>
      <c r="D14" s="91">
        <f>'10.Grain Production details'!D68</f>
        <v>0</v>
      </c>
      <c r="E14" s="91">
        <f>'10.Grain Production details'!E68</f>
        <v>0</v>
      </c>
      <c r="F14" s="91">
        <f>'10.Grain Production details'!F68</f>
        <v>0</v>
      </c>
      <c r="G14" s="91">
        <f>'10.Grain Production details'!G68</f>
        <v>0</v>
      </c>
      <c r="H14" s="91">
        <f>'10.Grain Production details'!H68</f>
        <v>0</v>
      </c>
    </row>
    <row r="15" spans="1:8">
      <c r="A15" s="91" t="str">
        <f>'10.Grain Production details'!A69</f>
        <v>Paddy/Rice</v>
      </c>
      <c r="B15" s="91">
        <f>'10.Grain Production details'!B69</f>
        <v>0</v>
      </c>
      <c r="C15" s="91">
        <f>'10.Grain Production details'!C69</f>
        <v>0</v>
      </c>
      <c r="D15" s="91">
        <f>'10.Grain Production details'!D69</f>
        <v>0</v>
      </c>
      <c r="E15" s="91">
        <f>'10.Grain Production details'!E69</f>
        <v>0</v>
      </c>
      <c r="F15" s="91">
        <f>'10.Grain Production details'!F69</f>
        <v>0</v>
      </c>
      <c r="G15" s="91">
        <f>'10.Grain Production details'!G69</f>
        <v>0</v>
      </c>
      <c r="H15" s="91">
        <f>'10.Grain Production details'!H69</f>
        <v>0</v>
      </c>
    </row>
    <row r="16" spans="1:8">
      <c r="A16" s="91" t="str">
        <f>'10.Grain Production details'!A70</f>
        <v>Green Gram/ Moong</v>
      </c>
      <c r="B16" s="91">
        <f>'10.Grain Production details'!B70</f>
        <v>0</v>
      </c>
      <c r="C16" s="91">
        <f>'10.Grain Production details'!C70</f>
        <v>0</v>
      </c>
      <c r="D16" s="91">
        <f>'10.Grain Production details'!D70</f>
        <v>0</v>
      </c>
      <c r="E16" s="91">
        <f>'10.Grain Production details'!E70</f>
        <v>0</v>
      </c>
      <c r="F16" s="91">
        <f>'10.Grain Production details'!F70</f>
        <v>0</v>
      </c>
      <c r="G16" s="91">
        <f>'10.Grain Production details'!G70</f>
        <v>0</v>
      </c>
      <c r="H16" s="91">
        <f>'10.Grain Production details'!H70</f>
        <v>0</v>
      </c>
    </row>
    <row r="17" spans="1:8">
      <c r="A17" s="91" t="str">
        <f>'10.Grain Production details'!A71</f>
        <v>Maize</v>
      </c>
      <c r="B17" s="91">
        <f>'10.Grain Production details'!B71</f>
        <v>0</v>
      </c>
      <c r="C17" s="91">
        <f>'10.Grain Production details'!C71</f>
        <v>0</v>
      </c>
      <c r="D17" s="91">
        <f>'10.Grain Production details'!D71</f>
        <v>0</v>
      </c>
      <c r="E17" s="91">
        <f>'10.Grain Production details'!E71</f>
        <v>0</v>
      </c>
      <c r="F17" s="91">
        <f>'10.Grain Production details'!F71</f>
        <v>0</v>
      </c>
      <c r="G17" s="91">
        <f>'10.Grain Production details'!G71</f>
        <v>0</v>
      </c>
      <c r="H17" s="91">
        <f>'10.Grain Production details'!H71</f>
        <v>0</v>
      </c>
    </row>
    <row r="18" spans="1:8">
      <c r="A18" s="91" t="str">
        <f>'10.Grain Production details'!A72</f>
        <v>Black Gram/Udid</v>
      </c>
      <c r="B18" s="91">
        <f>'10.Grain Production details'!B72</f>
        <v>0</v>
      </c>
      <c r="C18" s="91">
        <f>'10.Grain Production details'!C72</f>
        <v>0</v>
      </c>
      <c r="D18" s="91">
        <f>'10.Grain Production details'!D72</f>
        <v>0</v>
      </c>
      <c r="E18" s="91">
        <f>'10.Grain Production details'!E72</f>
        <v>0</v>
      </c>
      <c r="F18" s="91">
        <f>'10.Grain Production details'!F72</f>
        <v>0</v>
      </c>
      <c r="G18" s="91">
        <f>'10.Grain Production details'!G72</f>
        <v>0</v>
      </c>
      <c r="H18" s="91">
        <f>'10.Grain Production details'!H72</f>
        <v>0</v>
      </c>
    </row>
    <row r="19" spans="1:8">
      <c r="A19" s="91" t="str">
        <f>'10.Grain Production details'!A73</f>
        <v>Bajra</v>
      </c>
      <c r="B19" s="91">
        <f>'10.Grain Production details'!B73</f>
        <v>0</v>
      </c>
      <c r="C19" s="91">
        <f>'10.Grain Production details'!C73</f>
        <v>0</v>
      </c>
      <c r="D19" s="91">
        <f>'10.Grain Production details'!D73</f>
        <v>0</v>
      </c>
      <c r="E19" s="91">
        <f>'10.Grain Production details'!E73</f>
        <v>0</v>
      </c>
      <c r="F19" s="91">
        <f>'10.Grain Production details'!F73</f>
        <v>0</v>
      </c>
      <c r="G19" s="91">
        <f>'10.Grain Production details'!G73</f>
        <v>0</v>
      </c>
      <c r="H19" s="91">
        <f>'10.Grain Production details'!H73</f>
        <v>0</v>
      </c>
    </row>
    <row r="20" spans="1:8">
      <c r="A20" s="91" t="str">
        <f>'10.Grain Production details'!A74</f>
        <v>Jawar</v>
      </c>
      <c r="B20" s="91">
        <f>'10.Grain Production details'!B74</f>
        <v>0</v>
      </c>
      <c r="C20" s="91">
        <f>'10.Grain Production details'!C74</f>
        <v>0</v>
      </c>
      <c r="D20" s="91">
        <f>'10.Grain Production details'!D74</f>
        <v>0</v>
      </c>
      <c r="E20" s="91">
        <f>'10.Grain Production details'!E74</f>
        <v>0</v>
      </c>
      <c r="F20" s="91">
        <f>'10.Grain Production details'!F74</f>
        <v>0</v>
      </c>
      <c r="G20" s="91">
        <f>'10.Grain Production details'!G74</f>
        <v>0</v>
      </c>
      <c r="H20" s="91">
        <f>'10.Grain Production details'!H74</f>
        <v>0</v>
      </c>
    </row>
    <row r="21" spans="1:8">
      <c r="A21" s="91" t="str">
        <f>'10.Grain Production details'!A75</f>
        <v>Sunflower</v>
      </c>
      <c r="B21" s="91">
        <f>'10.Grain Production details'!B75</f>
        <v>0</v>
      </c>
      <c r="C21" s="91">
        <f>'10.Grain Production details'!C75</f>
        <v>0</v>
      </c>
      <c r="D21" s="91">
        <f>'10.Grain Production details'!D75</f>
        <v>0</v>
      </c>
      <c r="E21" s="91">
        <f>'10.Grain Production details'!E75</f>
        <v>0</v>
      </c>
      <c r="F21" s="91">
        <f>'10.Grain Production details'!F75</f>
        <v>0</v>
      </c>
      <c r="G21" s="91">
        <f>'10.Grain Production details'!G75</f>
        <v>0</v>
      </c>
      <c r="H21" s="91">
        <f>'10.Grain Production details'!H75</f>
        <v>0</v>
      </c>
    </row>
    <row r="22" spans="1:8">
      <c r="A22" s="91" t="str">
        <f>'10.Grain Production details'!A76</f>
        <v>Wheat</v>
      </c>
      <c r="B22" s="91">
        <f>'10.Grain Production details'!B76</f>
        <v>0</v>
      </c>
      <c r="C22" s="91">
        <f>'10.Grain Production details'!C76</f>
        <v>0</v>
      </c>
      <c r="D22" s="91">
        <f>'10.Grain Production details'!D76</f>
        <v>0</v>
      </c>
      <c r="E22" s="91">
        <f>'10.Grain Production details'!E76</f>
        <v>0</v>
      </c>
      <c r="F22" s="91">
        <f>'10.Grain Production details'!F76</f>
        <v>0</v>
      </c>
      <c r="G22" s="91">
        <f>'10.Grain Production details'!G76</f>
        <v>0</v>
      </c>
      <c r="H22" s="91">
        <f>'10.Grain Production details'!H76</f>
        <v>0</v>
      </c>
    </row>
    <row r="23" spans="1:8">
      <c r="A23" s="91" t="str">
        <f>'10.Grain Production details'!A77</f>
        <v>Bengal Gram/Channa</v>
      </c>
      <c r="B23" s="91">
        <f>'10.Grain Production details'!B77</f>
        <v>0</v>
      </c>
      <c r="C23" s="91">
        <f>'10.Grain Production details'!C77</f>
        <v>0</v>
      </c>
      <c r="D23" s="91">
        <f>'10.Grain Production details'!D77</f>
        <v>0</v>
      </c>
      <c r="E23" s="91">
        <f>'10.Grain Production details'!E77</f>
        <v>0</v>
      </c>
      <c r="F23" s="91">
        <f>'10.Grain Production details'!F77</f>
        <v>0</v>
      </c>
      <c r="G23" s="91">
        <f>'10.Grain Production details'!G77</f>
        <v>0</v>
      </c>
      <c r="H23" s="91">
        <f>'10.Grain Production details'!H77</f>
        <v>0</v>
      </c>
    </row>
    <row r="24" spans="1:8">
      <c r="A24" s="91" t="str">
        <f>'10.Grain Production details'!A78</f>
        <v>Jawar</v>
      </c>
      <c r="B24" s="91">
        <f>'10.Grain Production details'!B78</f>
        <v>0</v>
      </c>
      <c r="C24" s="91">
        <f>'10.Grain Production details'!C78</f>
        <v>0</v>
      </c>
      <c r="D24" s="91">
        <f>'10.Grain Production details'!D78</f>
        <v>0</v>
      </c>
      <c r="E24" s="91">
        <f>'10.Grain Production details'!E78</f>
        <v>0</v>
      </c>
      <c r="F24" s="91">
        <f>'10.Grain Production details'!F78</f>
        <v>0</v>
      </c>
      <c r="G24" s="91">
        <f>'10.Grain Production details'!G78</f>
        <v>0</v>
      </c>
      <c r="H24" s="91">
        <f>'10.Grain Production details'!H78</f>
        <v>0</v>
      </c>
    </row>
    <row r="25" spans="1:8">
      <c r="A25" s="91" t="str">
        <f>'10.Grain Production details'!A79</f>
        <v>Maize</v>
      </c>
      <c r="B25" s="91">
        <f>'10.Grain Production details'!B79</f>
        <v>0</v>
      </c>
      <c r="C25" s="91">
        <f>'10.Grain Production details'!C79</f>
        <v>0</v>
      </c>
      <c r="D25" s="91">
        <f>'10.Grain Production details'!D79</f>
        <v>0</v>
      </c>
      <c r="E25" s="91">
        <f>'10.Grain Production details'!E79</f>
        <v>0</v>
      </c>
      <c r="F25" s="91">
        <f>'10.Grain Production details'!F79</f>
        <v>0</v>
      </c>
      <c r="G25" s="91">
        <f>'10.Grain Production details'!G79</f>
        <v>0</v>
      </c>
      <c r="H25" s="91">
        <f>'10.Grain Production details'!H79</f>
        <v>0</v>
      </c>
    </row>
    <row r="26" spans="1:8">
      <c r="A26" s="91" t="str">
        <f>'10.Grain Production details'!A80</f>
        <v>Safflower</v>
      </c>
      <c r="B26" s="91">
        <f>'10.Grain Production details'!B80</f>
        <v>0</v>
      </c>
      <c r="C26" s="91">
        <f>'10.Grain Production details'!C80</f>
        <v>0</v>
      </c>
      <c r="D26" s="91">
        <f>'10.Grain Production details'!D80</f>
        <v>0</v>
      </c>
      <c r="E26" s="91">
        <f>'10.Grain Production details'!E80</f>
        <v>0</v>
      </c>
      <c r="F26" s="91">
        <f>'10.Grain Production details'!F80</f>
        <v>0</v>
      </c>
      <c r="G26" s="91">
        <f>'10.Grain Production details'!G80</f>
        <v>0</v>
      </c>
      <c r="H26" s="91">
        <f>'10.Grain Production details'!H80</f>
        <v>0</v>
      </c>
    </row>
    <row r="27" spans="1:8">
      <c r="A27" s="91">
        <f>'10.Grain Production details'!A81</f>
        <v>0</v>
      </c>
      <c r="B27" s="91">
        <f>'10.Grain Production details'!B81</f>
        <v>0</v>
      </c>
      <c r="C27" s="91">
        <f>'10.Grain Production details'!C81</f>
        <v>0</v>
      </c>
      <c r="D27" s="91">
        <f>'10.Grain Production details'!D81</f>
        <v>0</v>
      </c>
      <c r="E27" s="91">
        <f>'10.Grain Production details'!E81</f>
        <v>0</v>
      </c>
      <c r="F27" s="91">
        <f>'10.Grain Production details'!F81</f>
        <v>0</v>
      </c>
      <c r="G27" s="91">
        <f>'10.Grain Production details'!G81</f>
        <v>0</v>
      </c>
      <c r="H27" s="91">
        <f>'10.Grain Production details'!H81</f>
        <v>0</v>
      </c>
    </row>
    <row r="28" spans="1:8">
      <c r="A28" s="91">
        <f>'10.Grain Production details'!A82</f>
        <v>0</v>
      </c>
      <c r="B28" s="91">
        <f>'10.Grain Production details'!B82</f>
        <v>0</v>
      </c>
      <c r="C28" s="91">
        <f>'10.Grain Production details'!C82</f>
        <v>0</v>
      </c>
      <c r="D28" s="91">
        <f>'10.Grain Production details'!D82</f>
        <v>0</v>
      </c>
      <c r="E28" s="91">
        <f>'10.Grain Production details'!E82</f>
        <v>0</v>
      </c>
      <c r="F28" s="91">
        <f>'10.Grain Production details'!F82</f>
        <v>0</v>
      </c>
      <c r="G28" s="91">
        <f>'10.Grain Production details'!G82</f>
        <v>0</v>
      </c>
      <c r="H28" s="91">
        <f>'10.Grain Production details'!H82</f>
        <v>0</v>
      </c>
    </row>
    <row r="29" spans="1:8">
      <c r="A29" s="91">
        <f>'10.Grain Production details'!A83</f>
        <v>0</v>
      </c>
      <c r="B29" s="91">
        <f>'10.Grain Production details'!B83</f>
        <v>0</v>
      </c>
      <c r="C29" s="91">
        <f>'10.Grain Production details'!C83</f>
        <v>0</v>
      </c>
      <c r="D29" s="91">
        <f>'10.Grain Production details'!D83</f>
        <v>0</v>
      </c>
      <c r="E29" s="91">
        <f>'10.Grain Production details'!E83</f>
        <v>0</v>
      </c>
      <c r="F29" s="91">
        <f>'10.Grain Production details'!F83</f>
        <v>0</v>
      </c>
      <c r="G29" s="91">
        <f>'10.Grain Production details'!G83</f>
        <v>0</v>
      </c>
      <c r="H29" s="91">
        <f>'10.Grain Production details'!H83</f>
        <v>0</v>
      </c>
    </row>
    <row r="30" spans="1:8">
      <c r="A30" s="91" t="str">
        <f>'10.Grain Production details'!A84</f>
        <v>Groundnut</v>
      </c>
      <c r="B30" s="91">
        <f>'10.Grain Production details'!B84</f>
        <v>0</v>
      </c>
      <c r="C30" s="91">
        <f>'10.Grain Production details'!C84</f>
        <v>0</v>
      </c>
      <c r="D30" s="91">
        <f>'10.Grain Production details'!D84</f>
        <v>0</v>
      </c>
      <c r="E30" s="91">
        <f>'10.Grain Production details'!E84</f>
        <v>0</v>
      </c>
      <c r="F30" s="91">
        <f>'10.Grain Production details'!F84</f>
        <v>0</v>
      </c>
      <c r="G30" s="91">
        <f>'10.Grain Production details'!G84</f>
        <v>0</v>
      </c>
      <c r="H30" s="91">
        <f>'10.Grain Production details'!H84</f>
        <v>0</v>
      </c>
    </row>
    <row r="31" spans="1:8">
      <c r="A31" s="91">
        <f>'10.Grain Production details'!A85</f>
        <v>0</v>
      </c>
      <c r="B31" s="91">
        <f>'10.Grain Production details'!B85</f>
        <v>0</v>
      </c>
      <c r="C31" s="91">
        <f>'10.Grain Production details'!C85</f>
        <v>0</v>
      </c>
      <c r="D31" s="91">
        <f>'10.Grain Production details'!D85</f>
        <v>0</v>
      </c>
      <c r="E31" s="91">
        <f>'10.Grain Production details'!E85</f>
        <v>0</v>
      </c>
      <c r="F31" s="91">
        <f>'10.Grain Production details'!F85</f>
        <v>0</v>
      </c>
      <c r="G31" s="91">
        <f>'10.Grain Production details'!G85</f>
        <v>0</v>
      </c>
      <c r="H31" s="91">
        <f>'10.Grain Production details'!H85</f>
        <v>0</v>
      </c>
    </row>
    <row r="32" spans="1:8">
      <c r="A32" s="91" t="s">
        <v>451</v>
      </c>
      <c r="B32" s="91">
        <f>SUM(B13:B31)</f>
        <v>0</v>
      </c>
      <c r="C32" s="91">
        <f t="shared" ref="C32:H32" si="1">SUM(C13:C31)</f>
        <v>0</v>
      </c>
      <c r="D32" s="91">
        <f t="shared" si="1"/>
        <v>0</v>
      </c>
      <c r="E32" s="91">
        <f t="shared" si="1"/>
        <v>0</v>
      </c>
      <c r="F32" s="91">
        <f t="shared" si="1"/>
        <v>0</v>
      </c>
      <c r="G32" s="91">
        <f t="shared" si="1"/>
        <v>0</v>
      </c>
      <c r="H32" s="91">
        <f t="shared" si="1"/>
        <v>0</v>
      </c>
    </row>
    <row r="33" spans="1:8">
      <c r="A33" s="310" t="s">
        <v>165</v>
      </c>
      <c r="B33" s="265">
        <v>0.5</v>
      </c>
      <c r="C33" s="265">
        <f>B33</f>
        <v>0.5</v>
      </c>
      <c r="D33" s="265">
        <f t="shared" ref="D33:H33" si="2">C33</f>
        <v>0.5</v>
      </c>
      <c r="E33" s="265">
        <f t="shared" si="2"/>
        <v>0.5</v>
      </c>
      <c r="F33" s="265">
        <f t="shared" si="2"/>
        <v>0.5</v>
      </c>
      <c r="G33" s="265">
        <f t="shared" si="2"/>
        <v>0.5</v>
      </c>
      <c r="H33" s="265">
        <f t="shared" si="2"/>
        <v>0.5</v>
      </c>
    </row>
    <row r="34" spans="1:8">
      <c r="A34" s="95" t="s">
        <v>461</v>
      </c>
      <c r="B34" s="311">
        <f>1-B33</f>
        <v>0.5</v>
      </c>
      <c r="C34" s="311">
        <f t="shared" ref="C34:H34" si="3">1-C33</f>
        <v>0.5</v>
      </c>
      <c r="D34" s="311">
        <f t="shared" si="3"/>
        <v>0.5</v>
      </c>
      <c r="E34" s="311">
        <f t="shared" si="3"/>
        <v>0.5</v>
      </c>
      <c r="F34" s="311">
        <f t="shared" si="3"/>
        <v>0.5</v>
      </c>
      <c r="G34" s="311">
        <f t="shared" si="3"/>
        <v>0.5</v>
      </c>
      <c r="H34" s="311">
        <f t="shared" si="3"/>
        <v>0.5</v>
      </c>
    </row>
    <row r="35" spans="1:8">
      <c r="A35" s="93" t="s">
        <v>165</v>
      </c>
      <c r="B35" s="248">
        <f>B32*B33</f>
        <v>0</v>
      </c>
      <c r="C35" s="248">
        <f t="shared" ref="C35:H35" si="4">C32*C33</f>
        <v>0</v>
      </c>
      <c r="D35" s="248">
        <f t="shared" si="4"/>
        <v>0</v>
      </c>
      <c r="E35" s="248">
        <f t="shared" si="4"/>
        <v>0</v>
      </c>
      <c r="F35" s="248">
        <f t="shared" si="4"/>
        <v>0</v>
      </c>
      <c r="G35" s="248">
        <f t="shared" si="4"/>
        <v>0</v>
      </c>
      <c r="H35" s="248">
        <f t="shared" si="4"/>
        <v>0</v>
      </c>
    </row>
    <row r="36" spans="1:8">
      <c r="A36" s="93" t="s">
        <v>166</v>
      </c>
      <c r="B36" s="111"/>
      <c r="C36" s="111"/>
      <c r="D36" s="111"/>
      <c r="E36" s="111"/>
      <c r="F36" s="111"/>
      <c r="G36" s="111"/>
      <c r="H36" s="111"/>
    </row>
    <row r="37" spans="1:8">
      <c r="A37" s="91" t="str">
        <f t="shared" ref="A37:A55" si="5">A13</f>
        <v>Soybean</v>
      </c>
      <c r="B37" s="92">
        <f t="shared" ref="B37:B55" si="6">B13*$B$34</f>
        <v>0</v>
      </c>
      <c r="C37" s="92">
        <f t="shared" ref="C37:H37" si="7">C13*$B$34</f>
        <v>0</v>
      </c>
      <c r="D37" s="92">
        <f t="shared" si="7"/>
        <v>0</v>
      </c>
      <c r="E37" s="92">
        <f t="shared" si="7"/>
        <v>0</v>
      </c>
      <c r="F37" s="92">
        <f t="shared" si="7"/>
        <v>0</v>
      </c>
      <c r="G37" s="92">
        <f t="shared" si="7"/>
        <v>0</v>
      </c>
      <c r="H37" s="92">
        <f t="shared" si="7"/>
        <v>0</v>
      </c>
    </row>
    <row r="38" spans="1:8">
      <c r="A38" s="91" t="str">
        <f t="shared" si="5"/>
        <v>Red Gram/Tur</v>
      </c>
      <c r="B38" s="92">
        <f t="shared" si="6"/>
        <v>0</v>
      </c>
      <c r="C38" s="92">
        <f t="shared" ref="C38:C55" si="8">C14*$C$34</f>
        <v>0</v>
      </c>
      <c r="D38" s="92">
        <f t="shared" ref="D38:D55" si="9">D14*$D$34</f>
        <v>0</v>
      </c>
      <c r="E38" s="92">
        <f t="shared" ref="E38:E55" si="10">E14*$E$34</f>
        <v>0</v>
      </c>
      <c r="F38" s="92">
        <f t="shared" ref="F38:F55" si="11">F14*$F$34</f>
        <v>0</v>
      </c>
      <c r="G38" s="92">
        <f t="shared" ref="G38:G55" si="12">G14*$G$34</f>
        <v>0</v>
      </c>
      <c r="H38" s="92">
        <f t="shared" ref="H38:H55" si="13">H14*$H$34</f>
        <v>0</v>
      </c>
    </row>
    <row r="39" spans="1:8">
      <c r="A39" s="91" t="str">
        <f t="shared" si="5"/>
        <v>Paddy/Rice</v>
      </c>
      <c r="B39" s="92">
        <f t="shared" si="6"/>
        <v>0</v>
      </c>
      <c r="C39" s="92">
        <f t="shared" si="8"/>
        <v>0</v>
      </c>
      <c r="D39" s="92">
        <f t="shared" si="9"/>
        <v>0</v>
      </c>
      <c r="E39" s="92">
        <f t="shared" si="10"/>
        <v>0</v>
      </c>
      <c r="F39" s="92">
        <f t="shared" si="11"/>
        <v>0</v>
      </c>
      <c r="G39" s="92">
        <f t="shared" si="12"/>
        <v>0</v>
      </c>
      <c r="H39" s="92">
        <f t="shared" si="13"/>
        <v>0</v>
      </c>
    </row>
    <row r="40" spans="1:8">
      <c r="A40" s="91" t="str">
        <f t="shared" si="5"/>
        <v>Green Gram/ Moong</v>
      </c>
      <c r="B40" s="92">
        <f t="shared" si="6"/>
        <v>0</v>
      </c>
      <c r="C40" s="92">
        <f t="shared" si="8"/>
        <v>0</v>
      </c>
      <c r="D40" s="92">
        <f t="shared" si="9"/>
        <v>0</v>
      </c>
      <c r="E40" s="92">
        <f t="shared" si="10"/>
        <v>0</v>
      </c>
      <c r="F40" s="92">
        <f t="shared" si="11"/>
        <v>0</v>
      </c>
      <c r="G40" s="92">
        <f t="shared" si="12"/>
        <v>0</v>
      </c>
      <c r="H40" s="92">
        <f t="shared" si="13"/>
        <v>0</v>
      </c>
    </row>
    <row r="41" spans="1:8">
      <c r="A41" s="91" t="str">
        <f t="shared" si="5"/>
        <v>Maize</v>
      </c>
      <c r="B41" s="92">
        <f t="shared" si="6"/>
        <v>0</v>
      </c>
      <c r="C41" s="92">
        <f t="shared" si="8"/>
        <v>0</v>
      </c>
      <c r="D41" s="92">
        <f t="shared" si="9"/>
        <v>0</v>
      </c>
      <c r="E41" s="92">
        <f t="shared" si="10"/>
        <v>0</v>
      </c>
      <c r="F41" s="92">
        <f t="shared" si="11"/>
        <v>0</v>
      </c>
      <c r="G41" s="92">
        <f t="shared" si="12"/>
        <v>0</v>
      </c>
      <c r="H41" s="92">
        <f t="shared" si="13"/>
        <v>0</v>
      </c>
    </row>
    <row r="42" spans="1:8">
      <c r="A42" s="91" t="str">
        <f t="shared" si="5"/>
        <v>Black Gram/Udid</v>
      </c>
      <c r="B42" s="92">
        <f t="shared" si="6"/>
        <v>0</v>
      </c>
      <c r="C42" s="92">
        <f t="shared" si="8"/>
        <v>0</v>
      </c>
      <c r="D42" s="92">
        <f t="shared" si="9"/>
        <v>0</v>
      </c>
      <c r="E42" s="92">
        <f t="shared" si="10"/>
        <v>0</v>
      </c>
      <c r="F42" s="92">
        <f t="shared" si="11"/>
        <v>0</v>
      </c>
      <c r="G42" s="92">
        <f t="shared" si="12"/>
        <v>0</v>
      </c>
      <c r="H42" s="92">
        <f t="shared" si="13"/>
        <v>0</v>
      </c>
    </row>
    <row r="43" spans="1:8">
      <c r="A43" s="91" t="str">
        <f t="shared" si="5"/>
        <v>Bajra</v>
      </c>
      <c r="B43" s="92">
        <f t="shared" si="6"/>
        <v>0</v>
      </c>
      <c r="C43" s="92">
        <f t="shared" si="8"/>
        <v>0</v>
      </c>
      <c r="D43" s="92">
        <f t="shared" si="9"/>
        <v>0</v>
      </c>
      <c r="E43" s="92">
        <f t="shared" si="10"/>
        <v>0</v>
      </c>
      <c r="F43" s="92">
        <f t="shared" si="11"/>
        <v>0</v>
      </c>
      <c r="G43" s="92">
        <f t="shared" si="12"/>
        <v>0</v>
      </c>
      <c r="H43" s="92">
        <f t="shared" si="13"/>
        <v>0</v>
      </c>
    </row>
    <row r="44" spans="1:8">
      <c r="A44" s="91" t="str">
        <f t="shared" si="5"/>
        <v>Jawar</v>
      </c>
      <c r="B44" s="92">
        <f t="shared" si="6"/>
        <v>0</v>
      </c>
      <c r="C44" s="92">
        <f t="shared" si="8"/>
        <v>0</v>
      </c>
      <c r="D44" s="92">
        <f t="shared" si="9"/>
        <v>0</v>
      </c>
      <c r="E44" s="92">
        <f t="shared" si="10"/>
        <v>0</v>
      </c>
      <c r="F44" s="92">
        <f t="shared" si="11"/>
        <v>0</v>
      </c>
      <c r="G44" s="92">
        <f t="shared" si="12"/>
        <v>0</v>
      </c>
      <c r="H44" s="92">
        <f t="shared" si="13"/>
        <v>0</v>
      </c>
    </row>
    <row r="45" spans="1:8">
      <c r="A45" s="91" t="str">
        <f t="shared" si="5"/>
        <v>Sunflower</v>
      </c>
      <c r="B45" s="92">
        <f t="shared" si="6"/>
        <v>0</v>
      </c>
      <c r="C45" s="92">
        <f t="shared" si="8"/>
        <v>0</v>
      </c>
      <c r="D45" s="92">
        <f t="shared" si="9"/>
        <v>0</v>
      </c>
      <c r="E45" s="92">
        <f t="shared" si="10"/>
        <v>0</v>
      </c>
      <c r="F45" s="92">
        <f t="shared" si="11"/>
        <v>0</v>
      </c>
      <c r="G45" s="92">
        <f t="shared" si="12"/>
        <v>0</v>
      </c>
      <c r="H45" s="92">
        <f t="shared" si="13"/>
        <v>0</v>
      </c>
    </row>
    <row r="46" spans="1:8">
      <c r="A46" s="91" t="str">
        <f t="shared" si="5"/>
        <v>Wheat</v>
      </c>
      <c r="B46" s="92">
        <f t="shared" si="6"/>
        <v>0</v>
      </c>
      <c r="C46" s="92">
        <f t="shared" si="8"/>
        <v>0</v>
      </c>
      <c r="D46" s="92">
        <f t="shared" si="9"/>
        <v>0</v>
      </c>
      <c r="E46" s="92">
        <f t="shared" si="10"/>
        <v>0</v>
      </c>
      <c r="F46" s="92">
        <f t="shared" si="11"/>
        <v>0</v>
      </c>
      <c r="G46" s="92">
        <f t="shared" si="12"/>
        <v>0</v>
      </c>
      <c r="H46" s="92">
        <f t="shared" si="13"/>
        <v>0</v>
      </c>
    </row>
    <row r="47" spans="1:8">
      <c r="A47" s="91" t="str">
        <f t="shared" si="5"/>
        <v>Bengal Gram/Channa</v>
      </c>
      <c r="B47" s="92">
        <f t="shared" si="6"/>
        <v>0</v>
      </c>
      <c r="C47" s="92">
        <f t="shared" si="8"/>
        <v>0</v>
      </c>
      <c r="D47" s="92">
        <f t="shared" si="9"/>
        <v>0</v>
      </c>
      <c r="E47" s="92">
        <f t="shared" si="10"/>
        <v>0</v>
      </c>
      <c r="F47" s="92">
        <f t="shared" si="11"/>
        <v>0</v>
      </c>
      <c r="G47" s="92">
        <f t="shared" si="12"/>
        <v>0</v>
      </c>
      <c r="H47" s="92">
        <f t="shared" si="13"/>
        <v>0</v>
      </c>
    </row>
    <row r="48" spans="1:8">
      <c r="A48" s="91" t="str">
        <f t="shared" si="5"/>
        <v>Jawar</v>
      </c>
      <c r="B48" s="92">
        <f t="shared" si="6"/>
        <v>0</v>
      </c>
      <c r="C48" s="92">
        <f t="shared" si="8"/>
        <v>0</v>
      </c>
      <c r="D48" s="92">
        <f t="shared" si="9"/>
        <v>0</v>
      </c>
      <c r="E48" s="92">
        <f t="shared" si="10"/>
        <v>0</v>
      </c>
      <c r="F48" s="92">
        <f t="shared" si="11"/>
        <v>0</v>
      </c>
      <c r="G48" s="92">
        <f t="shared" si="12"/>
        <v>0</v>
      </c>
      <c r="H48" s="92">
        <f t="shared" si="13"/>
        <v>0</v>
      </c>
    </row>
    <row r="49" spans="1:8">
      <c r="A49" s="91" t="str">
        <f t="shared" si="5"/>
        <v>Maize</v>
      </c>
      <c r="B49" s="92">
        <f t="shared" si="6"/>
        <v>0</v>
      </c>
      <c r="C49" s="92">
        <f t="shared" si="8"/>
        <v>0</v>
      </c>
      <c r="D49" s="92">
        <f t="shared" si="9"/>
        <v>0</v>
      </c>
      <c r="E49" s="92">
        <f t="shared" si="10"/>
        <v>0</v>
      </c>
      <c r="F49" s="92">
        <f t="shared" si="11"/>
        <v>0</v>
      </c>
      <c r="G49" s="92">
        <f t="shared" si="12"/>
        <v>0</v>
      </c>
      <c r="H49" s="92">
        <f t="shared" si="13"/>
        <v>0</v>
      </c>
    </row>
    <row r="50" spans="1:8">
      <c r="A50" s="91" t="str">
        <f t="shared" si="5"/>
        <v>Safflower</v>
      </c>
      <c r="B50" s="92">
        <f t="shared" si="6"/>
        <v>0</v>
      </c>
      <c r="C50" s="92">
        <f t="shared" si="8"/>
        <v>0</v>
      </c>
      <c r="D50" s="92">
        <f t="shared" si="9"/>
        <v>0</v>
      </c>
      <c r="E50" s="92">
        <f t="shared" si="10"/>
        <v>0</v>
      </c>
      <c r="F50" s="92">
        <f t="shared" si="11"/>
        <v>0</v>
      </c>
      <c r="G50" s="92">
        <f t="shared" si="12"/>
        <v>0</v>
      </c>
      <c r="H50" s="92">
        <f t="shared" si="13"/>
        <v>0</v>
      </c>
    </row>
    <row r="51" spans="1:8">
      <c r="A51" s="91">
        <f t="shared" si="5"/>
        <v>0</v>
      </c>
      <c r="B51" s="92">
        <f t="shared" si="6"/>
        <v>0</v>
      </c>
      <c r="C51" s="92">
        <f t="shared" si="8"/>
        <v>0</v>
      </c>
      <c r="D51" s="92">
        <f t="shared" si="9"/>
        <v>0</v>
      </c>
      <c r="E51" s="92">
        <f t="shared" si="10"/>
        <v>0</v>
      </c>
      <c r="F51" s="92">
        <f t="shared" si="11"/>
        <v>0</v>
      </c>
      <c r="G51" s="92">
        <f t="shared" si="12"/>
        <v>0</v>
      </c>
      <c r="H51" s="92">
        <f t="shared" si="13"/>
        <v>0</v>
      </c>
    </row>
    <row r="52" spans="1:8">
      <c r="A52" s="91">
        <f t="shared" si="5"/>
        <v>0</v>
      </c>
      <c r="B52" s="92">
        <f t="shared" si="6"/>
        <v>0</v>
      </c>
      <c r="C52" s="92">
        <f t="shared" si="8"/>
        <v>0</v>
      </c>
      <c r="D52" s="92">
        <f t="shared" si="9"/>
        <v>0</v>
      </c>
      <c r="E52" s="92">
        <f t="shared" si="10"/>
        <v>0</v>
      </c>
      <c r="F52" s="92">
        <f t="shared" si="11"/>
        <v>0</v>
      </c>
      <c r="G52" s="92">
        <f t="shared" si="12"/>
        <v>0</v>
      </c>
      <c r="H52" s="92">
        <f t="shared" si="13"/>
        <v>0</v>
      </c>
    </row>
    <row r="53" spans="1:8">
      <c r="A53" s="91">
        <f t="shared" si="5"/>
        <v>0</v>
      </c>
      <c r="B53" s="92">
        <f t="shared" si="6"/>
        <v>0</v>
      </c>
      <c r="C53" s="92">
        <f t="shared" si="8"/>
        <v>0</v>
      </c>
      <c r="D53" s="92">
        <f t="shared" si="9"/>
        <v>0</v>
      </c>
      <c r="E53" s="92">
        <f t="shared" si="10"/>
        <v>0</v>
      </c>
      <c r="F53" s="92">
        <f t="shared" si="11"/>
        <v>0</v>
      </c>
      <c r="G53" s="92">
        <f t="shared" si="12"/>
        <v>0</v>
      </c>
      <c r="H53" s="92">
        <f t="shared" si="13"/>
        <v>0</v>
      </c>
    </row>
    <row r="54" spans="1:8">
      <c r="A54" s="91" t="str">
        <f t="shared" si="5"/>
        <v>Groundnut</v>
      </c>
      <c r="B54" s="92">
        <f t="shared" si="6"/>
        <v>0</v>
      </c>
      <c r="C54" s="92">
        <f t="shared" si="8"/>
        <v>0</v>
      </c>
      <c r="D54" s="92">
        <f t="shared" si="9"/>
        <v>0</v>
      </c>
      <c r="E54" s="92">
        <f t="shared" si="10"/>
        <v>0</v>
      </c>
      <c r="F54" s="92">
        <f t="shared" si="11"/>
        <v>0</v>
      </c>
      <c r="G54" s="92">
        <f t="shared" si="12"/>
        <v>0</v>
      </c>
      <c r="H54" s="92">
        <f t="shared" si="13"/>
        <v>0</v>
      </c>
    </row>
    <row r="55" spans="1:8">
      <c r="A55" s="91">
        <f t="shared" si="5"/>
        <v>0</v>
      </c>
      <c r="B55" s="92">
        <f t="shared" si="6"/>
        <v>0</v>
      </c>
      <c r="C55" s="92">
        <f t="shared" si="8"/>
        <v>0</v>
      </c>
      <c r="D55" s="92">
        <f t="shared" si="9"/>
        <v>0</v>
      </c>
      <c r="E55" s="92">
        <f t="shared" si="10"/>
        <v>0</v>
      </c>
      <c r="F55" s="92">
        <f t="shared" si="11"/>
        <v>0</v>
      </c>
      <c r="G55" s="92">
        <f t="shared" si="12"/>
        <v>0</v>
      </c>
      <c r="H55" s="92">
        <f t="shared" si="13"/>
        <v>0</v>
      </c>
    </row>
    <row r="56" spans="1:8">
      <c r="A56" s="91"/>
      <c r="B56" s="91"/>
      <c r="C56" s="91"/>
      <c r="D56" s="91"/>
      <c r="E56" s="91"/>
      <c r="F56" s="91"/>
      <c r="G56" s="91"/>
      <c r="H56" s="91"/>
    </row>
    <row r="57" spans="1:8">
      <c r="A57" s="93" t="s">
        <v>283</v>
      </c>
      <c r="B57" s="91"/>
      <c r="C57" s="91"/>
      <c r="D57" s="91"/>
      <c r="E57" s="91"/>
      <c r="F57" s="91"/>
      <c r="G57" s="91"/>
      <c r="H57" s="91"/>
    </row>
    <row r="58" spans="1:8">
      <c r="A58" s="91" t="str">
        <f>A37</f>
        <v>Soybean</v>
      </c>
      <c r="B58" s="91"/>
      <c r="C58" s="91"/>
      <c r="D58" s="91"/>
      <c r="E58" s="91"/>
      <c r="F58" s="91"/>
      <c r="G58" s="91"/>
      <c r="H58" s="91"/>
    </row>
    <row r="59" spans="1:8">
      <c r="A59" s="91"/>
      <c r="B59" s="91"/>
      <c r="C59" s="91"/>
      <c r="D59" s="91"/>
      <c r="E59" s="91"/>
      <c r="F59" s="91"/>
      <c r="G59" s="91"/>
      <c r="H59" s="91"/>
    </row>
    <row r="60" spans="1:8">
      <c r="A60" s="91"/>
      <c r="B60" s="91"/>
      <c r="C60" s="91"/>
      <c r="D60" s="91"/>
      <c r="E60" s="91"/>
      <c r="F60" s="91"/>
      <c r="G60" s="91"/>
      <c r="H60" s="91"/>
    </row>
    <row r="61" spans="1:8">
      <c r="A61" s="91"/>
      <c r="B61" s="91"/>
      <c r="C61" s="91"/>
      <c r="D61" s="91"/>
      <c r="E61" s="91"/>
      <c r="F61" s="91"/>
      <c r="G61" s="91"/>
      <c r="H61" s="91"/>
    </row>
    <row r="62" spans="1:8">
      <c r="A62" s="91" t="str">
        <f>A38</f>
        <v>Red Gram/Tur</v>
      </c>
      <c r="B62" s="187"/>
      <c r="C62" s="187"/>
      <c r="D62" s="187"/>
      <c r="E62" s="187"/>
      <c r="F62" s="187"/>
      <c r="G62" s="187"/>
      <c r="H62" s="187"/>
    </row>
    <row r="63" spans="1:8">
      <c r="A63" s="91" t="s">
        <v>452</v>
      </c>
      <c r="B63" s="187">
        <f>B38*80%</f>
        <v>0</v>
      </c>
      <c r="C63" s="187">
        <f t="shared" ref="C63:H63" si="14">C38*80%</f>
        <v>0</v>
      </c>
      <c r="D63" s="187">
        <f t="shared" si="14"/>
        <v>0</v>
      </c>
      <c r="E63" s="187">
        <f t="shared" si="14"/>
        <v>0</v>
      </c>
      <c r="F63" s="187">
        <f t="shared" si="14"/>
        <v>0</v>
      </c>
      <c r="G63" s="187">
        <f t="shared" si="14"/>
        <v>0</v>
      </c>
      <c r="H63" s="187">
        <f t="shared" si="14"/>
        <v>0</v>
      </c>
    </row>
    <row r="64" spans="1:8">
      <c r="A64" s="91" t="s">
        <v>142</v>
      </c>
      <c r="B64" s="187">
        <f>B38*20%</f>
        <v>0</v>
      </c>
      <c r="C64" s="187">
        <f t="shared" ref="C64:H64" si="15">C38*20%</f>
        <v>0</v>
      </c>
      <c r="D64" s="187">
        <f t="shared" si="15"/>
        <v>0</v>
      </c>
      <c r="E64" s="187">
        <f t="shared" si="15"/>
        <v>0</v>
      </c>
      <c r="F64" s="187">
        <f t="shared" si="15"/>
        <v>0</v>
      </c>
      <c r="G64" s="187">
        <f t="shared" si="15"/>
        <v>0</v>
      </c>
      <c r="H64" s="187">
        <f t="shared" si="15"/>
        <v>0</v>
      </c>
    </row>
    <row r="65" spans="1:8">
      <c r="A65" s="91" t="str">
        <f>A39</f>
        <v>Paddy/Rice</v>
      </c>
      <c r="B65" s="92"/>
      <c r="C65" s="92"/>
      <c r="D65" s="92"/>
      <c r="E65" s="92"/>
      <c r="F65" s="92"/>
      <c r="G65" s="92"/>
      <c r="H65" s="92"/>
    </row>
    <row r="66" spans="1:8">
      <c r="A66" s="91"/>
      <c r="B66" s="92"/>
      <c r="C66" s="92"/>
      <c r="D66" s="92"/>
      <c r="E66" s="92"/>
      <c r="F66" s="92"/>
      <c r="G66" s="92"/>
      <c r="H66" s="92"/>
    </row>
    <row r="67" spans="1:8">
      <c r="A67" s="91"/>
      <c r="B67" s="92"/>
      <c r="C67" s="92"/>
      <c r="D67" s="92"/>
      <c r="E67" s="92"/>
      <c r="F67" s="92"/>
      <c r="G67" s="92"/>
      <c r="H67" s="92"/>
    </row>
    <row r="68" spans="1:8">
      <c r="A68" s="91"/>
      <c r="B68" s="92"/>
      <c r="C68" s="92"/>
      <c r="D68" s="92"/>
      <c r="E68" s="92"/>
      <c r="F68" s="92"/>
      <c r="G68" s="92"/>
      <c r="H68" s="92"/>
    </row>
    <row r="69" spans="1:8">
      <c r="A69" s="91" t="str">
        <f>A40</f>
        <v>Green Gram/ Moong</v>
      </c>
      <c r="B69" s="92"/>
      <c r="C69" s="92"/>
      <c r="D69" s="92"/>
      <c r="E69" s="92"/>
      <c r="F69" s="92"/>
      <c r="G69" s="92"/>
      <c r="H69" s="92"/>
    </row>
    <row r="70" spans="1:8">
      <c r="A70" s="91" t="s">
        <v>452</v>
      </c>
      <c r="B70" s="92">
        <f>B40*80%</f>
        <v>0</v>
      </c>
      <c r="C70" s="92">
        <f t="shared" ref="C70:H70" si="16">C40*80%</f>
        <v>0</v>
      </c>
      <c r="D70" s="92">
        <f t="shared" si="16"/>
        <v>0</v>
      </c>
      <c r="E70" s="92">
        <f t="shared" si="16"/>
        <v>0</v>
      </c>
      <c r="F70" s="92">
        <f t="shared" si="16"/>
        <v>0</v>
      </c>
      <c r="G70" s="92">
        <f t="shared" si="16"/>
        <v>0</v>
      </c>
      <c r="H70" s="92">
        <f t="shared" si="16"/>
        <v>0</v>
      </c>
    </row>
    <row r="71" spans="1:8">
      <c r="A71" s="91" t="s">
        <v>142</v>
      </c>
      <c r="B71" s="92">
        <f>B40*20%</f>
        <v>0</v>
      </c>
      <c r="C71" s="92">
        <f t="shared" ref="C71:H71" si="17">C40*20%</f>
        <v>0</v>
      </c>
      <c r="D71" s="92">
        <f t="shared" si="17"/>
        <v>0</v>
      </c>
      <c r="E71" s="92">
        <f t="shared" si="17"/>
        <v>0</v>
      </c>
      <c r="F71" s="92">
        <f t="shared" si="17"/>
        <v>0</v>
      </c>
      <c r="G71" s="92">
        <f t="shared" si="17"/>
        <v>0</v>
      </c>
      <c r="H71" s="92">
        <f t="shared" si="17"/>
        <v>0</v>
      </c>
    </row>
    <row r="72" spans="1:8">
      <c r="A72" s="91" t="str">
        <f>A41</f>
        <v>Maize</v>
      </c>
      <c r="B72" s="92"/>
      <c r="C72" s="92"/>
      <c r="D72" s="92"/>
      <c r="E72" s="92"/>
      <c r="F72" s="92"/>
      <c r="G72" s="92"/>
      <c r="H72" s="92"/>
    </row>
    <row r="73" spans="1:8">
      <c r="A73" s="91"/>
      <c r="B73" s="92"/>
      <c r="C73" s="92"/>
      <c r="D73" s="92"/>
      <c r="E73" s="92"/>
      <c r="F73" s="92"/>
      <c r="G73" s="92"/>
      <c r="H73" s="92"/>
    </row>
    <row r="74" spans="1:8">
      <c r="A74" s="91"/>
      <c r="B74" s="92"/>
      <c r="C74" s="92"/>
      <c r="D74" s="92"/>
      <c r="E74" s="92"/>
      <c r="F74" s="92"/>
      <c r="G74" s="92"/>
      <c r="H74" s="92"/>
    </row>
    <row r="75" spans="1:8">
      <c r="A75" s="91"/>
      <c r="B75" s="92"/>
      <c r="C75" s="92"/>
      <c r="D75" s="92"/>
      <c r="E75" s="92"/>
      <c r="F75" s="92"/>
      <c r="G75" s="92"/>
      <c r="H75" s="92"/>
    </row>
    <row r="76" spans="1:8">
      <c r="A76" s="91"/>
      <c r="B76" s="92"/>
      <c r="C76" s="92"/>
      <c r="D76" s="92"/>
      <c r="E76" s="92"/>
      <c r="F76" s="92"/>
      <c r="G76" s="92"/>
      <c r="H76" s="92"/>
    </row>
    <row r="77" spans="1:8">
      <c r="A77" s="91" t="str">
        <f>A42</f>
        <v>Black Gram/Udid</v>
      </c>
      <c r="B77" s="92"/>
      <c r="C77" s="92"/>
      <c r="D77" s="92"/>
      <c r="E77" s="92"/>
      <c r="F77" s="92"/>
      <c r="G77" s="92"/>
      <c r="H77" s="92"/>
    </row>
    <row r="78" spans="1:8">
      <c r="A78" s="91" t="s">
        <v>452</v>
      </c>
      <c r="B78" s="92">
        <f t="shared" ref="B78:H78" si="18">B42*80%</f>
        <v>0</v>
      </c>
      <c r="C78" s="92">
        <f t="shared" si="18"/>
        <v>0</v>
      </c>
      <c r="D78" s="92">
        <f t="shared" si="18"/>
        <v>0</v>
      </c>
      <c r="E78" s="92">
        <f t="shared" si="18"/>
        <v>0</v>
      </c>
      <c r="F78" s="92">
        <f t="shared" si="18"/>
        <v>0</v>
      </c>
      <c r="G78" s="92">
        <f t="shared" si="18"/>
        <v>0</v>
      </c>
      <c r="H78" s="92">
        <f t="shared" si="18"/>
        <v>0</v>
      </c>
    </row>
    <row r="79" spans="1:8">
      <c r="A79" s="91" t="s">
        <v>142</v>
      </c>
      <c r="B79" s="92">
        <f t="shared" ref="B79:H79" si="19">B42*20%</f>
        <v>0</v>
      </c>
      <c r="C79" s="92">
        <f t="shared" si="19"/>
        <v>0</v>
      </c>
      <c r="D79" s="92">
        <f t="shared" si="19"/>
        <v>0</v>
      </c>
      <c r="E79" s="92">
        <f t="shared" si="19"/>
        <v>0</v>
      </c>
      <c r="F79" s="92">
        <f t="shared" si="19"/>
        <v>0</v>
      </c>
      <c r="G79" s="92">
        <f t="shared" si="19"/>
        <v>0</v>
      </c>
      <c r="H79" s="92">
        <f t="shared" si="19"/>
        <v>0</v>
      </c>
    </row>
    <row r="80" spans="1:8">
      <c r="A80" s="91" t="str">
        <f>A43</f>
        <v>Bajra</v>
      </c>
      <c r="B80" s="92"/>
      <c r="C80" s="92"/>
      <c r="D80" s="92"/>
      <c r="E80" s="92"/>
      <c r="F80" s="92"/>
      <c r="G80" s="92"/>
      <c r="H80" s="92"/>
    </row>
    <row r="81" spans="1:8">
      <c r="A81" s="91"/>
      <c r="B81" s="92"/>
      <c r="C81" s="92"/>
      <c r="D81" s="92"/>
      <c r="E81" s="92"/>
      <c r="F81" s="92"/>
      <c r="G81" s="92"/>
      <c r="H81" s="92"/>
    </row>
    <row r="82" spans="1:8">
      <c r="A82" s="91"/>
      <c r="B82" s="92"/>
      <c r="C82" s="92"/>
      <c r="D82" s="92"/>
      <c r="E82" s="92"/>
      <c r="F82" s="92"/>
      <c r="G82" s="92"/>
      <c r="H82" s="92"/>
    </row>
    <row r="83" spans="1:8">
      <c r="A83" s="91" t="str">
        <f>A44</f>
        <v>Jawar</v>
      </c>
      <c r="B83" s="92"/>
      <c r="C83" s="92"/>
      <c r="D83" s="92"/>
      <c r="E83" s="92"/>
      <c r="F83" s="92"/>
      <c r="G83" s="92"/>
      <c r="H83" s="92"/>
    </row>
    <row r="84" spans="1:8">
      <c r="A84" s="91"/>
      <c r="B84" s="92"/>
      <c r="C84" s="92"/>
      <c r="D84" s="92"/>
      <c r="E84" s="92"/>
      <c r="F84" s="92"/>
      <c r="G84" s="92"/>
      <c r="H84" s="92"/>
    </row>
    <row r="85" spans="1:8">
      <c r="A85" s="91"/>
      <c r="B85" s="92"/>
      <c r="C85" s="92"/>
      <c r="D85" s="92"/>
      <c r="E85" s="92"/>
      <c r="F85" s="92"/>
      <c r="G85" s="92"/>
      <c r="H85" s="92"/>
    </row>
    <row r="86" spans="1:8">
      <c r="A86" s="91"/>
      <c r="B86" s="92"/>
      <c r="C86" s="92"/>
      <c r="D86" s="92"/>
      <c r="E86" s="92"/>
      <c r="F86" s="92"/>
      <c r="G86" s="92"/>
      <c r="H86" s="92"/>
    </row>
    <row r="87" spans="1:8">
      <c r="A87" s="91" t="str">
        <f>A45</f>
        <v>Sunflower</v>
      </c>
      <c r="B87" s="92"/>
      <c r="C87" s="92"/>
      <c r="D87" s="92"/>
      <c r="E87" s="92"/>
      <c r="F87" s="92"/>
      <c r="G87" s="92"/>
      <c r="H87" s="92"/>
    </row>
    <row r="88" spans="1:8">
      <c r="A88" s="91"/>
      <c r="B88" s="92"/>
      <c r="C88" s="92"/>
      <c r="D88" s="92"/>
      <c r="E88" s="92"/>
      <c r="F88" s="92"/>
      <c r="G88" s="92"/>
      <c r="H88" s="92"/>
    </row>
    <row r="89" spans="1:8">
      <c r="A89" s="91"/>
      <c r="B89" s="92"/>
      <c r="C89" s="92"/>
      <c r="D89" s="92"/>
      <c r="E89" s="92"/>
      <c r="F89" s="92"/>
      <c r="G89" s="92"/>
      <c r="H89" s="92"/>
    </row>
    <row r="90" spans="1:8">
      <c r="A90" s="91"/>
      <c r="B90" s="92"/>
      <c r="C90" s="92"/>
      <c r="D90" s="92"/>
      <c r="E90" s="92"/>
      <c r="F90" s="92"/>
      <c r="G90" s="92"/>
      <c r="H90" s="92"/>
    </row>
    <row r="91" spans="1:8">
      <c r="A91" s="91" t="str">
        <f>A46</f>
        <v>Wheat</v>
      </c>
      <c r="B91" s="92"/>
      <c r="C91" s="92"/>
      <c r="D91" s="92"/>
      <c r="E91" s="92"/>
      <c r="F91" s="92"/>
      <c r="G91" s="92"/>
      <c r="H91" s="92"/>
    </row>
    <row r="92" spans="1:8">
      <c r="A92" s="91"/>
      <c r="B92" s="92"/>
      <c r="C92" s="92"/>
      <c r="D92" s="92"/>
      <c r="E92" s="92"/>
      <c r="F92" s="92"/>
      <c r="G92" s="92"/>
      <c r="H92" s="92"/>
    </row>
    <row r="93" spans="1:8">
      <c r="A93" s="91"/>
      <c r="B93" s="92"/>
      <c r="C93" s="92"/>
      <c r="D93" s="92"/>
      <c r="E93" s="92"/>
      <c r="F93" s="92"/>
      <c r="G93" s="92"/>
      <c r="H93" s="92"/>
    </row>
    <row r="94" spans="1:8">
      <c r="A94" s="91" t="str">
        <f>A47</f>
        <v>Bengal Gram/Channa</v>
      </c>
      <c r="B94" s="92"/>
      <c r="C94" s="92"/>
      <c r="D94" s="92"/>
      <c r="E94" s="92"/>
      <c r="F94" s="92"/>
      <c r="G94" s="92"/>
      <c r="H94" s="92"/>
    </row>
    <row r="95" spans="1:8">
      <c r="A95" s="91" t="s">
        <v>452</v>
      </c>
      <c r="B95" s="92">
        <f t="shared" ref="B95:H95" si="20">B47*80%</f>
        <v>0</v>
      </c>
      <c r="C95" s="92">
        <f t="shared" si="20"/>
        <v>0</v>
      </c>
      <c r="D95" s="92">
        <f t="shared" si="20"/>
        <v>0</v>
      </c>
      <c r="E95" s="92">
        <f t="shared" si="20"/>
        <v>0</v>
      </c>
      <c r="F95" s="92">
        <f t="shared" si="20"/>
        <v>0</v>
      </c>
      <c r="G95" s="92">
        <f t="shared" si="20"/>
        <v>0</v>
      </c>
      <c r="H95" s="92">
        <f t="shared" si="20"/>
        <v>0</v>
      </c>
    </row>
    <row r="96" spans="1:8">
      <c r="A96" s="91" t="s">
        <v>142</v>
      </c>
      <c r="B96" s="92">
        <f t="shared" ref="B96:H96" si="21">B47*20%</f>
        <v>0</v>
      </c>
      <c r="C96" s="92">
        <f t="shared" si="21"/>
        <v>0</v>
      </c>
      <c r="D96" s="92">
        <f t="shared" si="21"/>
        <v>0</v>
      </c>
      <c r="E96" s="92">
        <f t="shared" si="21"/>
        <v>0</v>
      </c>
      <c r="F96" s="92">
        <f t="shared" si="21"/>
        <v>0</v>
      </c>
      <c r="G96" s="92">
        <f t="shared" si="21"/>
        <v>0</v>
      </c>
      <c r="H96" s="92">
        <f t="shared" si="21"/>
        <v>0</v>
      </c>
    </row>
    <row r="97" spans="1:8">
      <c r="A97" s="91" t="str">
        <f>A48</f>
        <v>Jawar</v>
      </c>
      <c r="B97" s="92"/>
      <c r="C97" s="92"/>
      <c r="D97" s="92"/>
      <c r="E97" s="92"/>
      <c r="F97" s="92"/>
      <c r="G97" s="92"/>
      <c r="H97" s="92"/>
    </row>
    <row r="98" spans="1:8">
      <c r="A98" s="91"/>
      <c r="B98" s="92"/>
      <c r="C98" s="92"/>
      <c r="D98" s="92"/>
      <c r="E98" s="92"/>
      <c r="F98" s="92"/>
      <c r="G98" s="92"/>
      <c r="H98" s="92"/>
    </row>
    <row r="99" spans="1:8">
      <c r="A99" s="91"/>
      <c r="B99" s="92"/>
      <c r="C99" s="92"/>
      <c r="D99" s="92"/>
      <c r="E99" s="92"/>
      <c r="F99" s="92"/>
      <c r="G99" s="92"/>
      <c r="H99" s="92"/>
    </row>
    <row r="100" spans="1:8">
      <c r="A100" s="91" t="str">
        <f>A49</f>
        <v>Maize</v>
      </c>
      <c r="B100" s="92"/>
      <c r="C100" s="92"/>
      <c r="D100" s="92"/>
      <c r="E100" s="92"/>
      <c r="F100" s="92"/>
      <c r="G100" s="92"/>
      <c r="H100" s="92"/>
    </row>
    <row r="101" spans="1:8">
      <c r="A101" s="91"/>
      <c r="B101" s="92"/>
      <c r="C101" s="92"/>
      <c r="D101" s="92"/>
      <c r="E101" s="92"/>
      <c r="F101" s="92"/>
      <c r="G101" s="92"/>
      <c r="H101" s="92"/>
    </row>
    <row r="102" spans="1:8">
      <c r="A102" s="91"/>
      <c r="B102" s="92"/>
      <c r="C102" s="92"/>
      <c r="D102" s="92"/>
      <c r="E102" s="92"/>
      <c r="F102" s="92"/>
      <c r="G102" s="92"/>
      <c r="H102" s="92"/>
    </row>
    <row r="103" spans="1:8">
      <c r="A103" s="91" t="str">
        <f>A50</f>
        <v>Safflower</v>
      </c>
      <c r="B103" s="92"/>
      <c r="C103" s="92"/>
      <c r="D103" s="92"/>
      <c r="E103" s="92"/>
      <c r="F103" s="92"/>
      <c r="G103" s="92"/>
      <c r="H103" s="92"/>
    </row>
    <row r="104" spans="1:8">
      <c r="A104" s="91"/>
      <c r="B104" s="92"/>
      <c r="C104" s="92"/>
      <c r="D104" s="92"/>
      <c r="E104" s="92"/>
      <c r="F104" s="92"/>
      <c r="G104" s="92"/>
      <c r="H104" s="92"/>
    </row>
    <row r="105" spans="1:8">
      <c r="A105" s="91"/>
      <c r="B105" s="92"/>
      <c r="C105" s="92"/>
      <c r="D105" s="92"/>
      <c r="E105" s="92"/>
      <c r="F105" s="92"/>
      <c r="G105" s="92"/>
      <c r="H105" s="92"/>
    </row>
    <row r="106" spans="1:8">
      <c r="A106" s="91">
        <f>A51</f>
        <v>0</v>
      </c>
      <c r="B106" s="92"/>
      <c r="C106" s="92"/>
      <c r="D106" s="92"/>
      <c r="E106" s="92"/>
      <c r="F106" s="92"/>
      <c r="G106" s="92"/>
      <c r="H106" s="92"/>
    </row>
    <row r="107" spans="1:8">
      <c r="A107" s="91"/>
      <c r="B107" s="92"/>
      <c r="C107" s="92"/>
      <c r="D107" s="92"/>
      <c r="E107" s="92"/>
      <c r="F107" s="92"/>
      <c r="G107" s="92"/>
      <c r="H107" s="92"/>
    </row>
    <row r="108" spans="1:8">
      <c r="A108" s="91"/>
      <c r="B108" s="92"/>
      <c r="C108" s="92"/>
      <c r="D108" s="92"/>
      <c r="E108" s="92"/>
      <c r="F108" s="92"/>
      <c r="G108" s="92"/>
      <c r="H108" s="92"/>
    </row>
    <row r="109" spans="1:8">
      <c r="A109" s="91">
        <f>A52</f>
        <v>0</v>
      </c>
      <c r="B109" s="92"/>
      <c r="C109" s="92"/>
      <c r="D109" s="92"/>
      <c r="E109" s="92"/>
      <c r="F109" s="92"/>
      <c r="G109" s="92"/>
      <c r="H109" s="92"/>
    </row>
    <row r="110" spans="1:8">
      <c r="A110" s="91"/>
      <c r="B110" s="92"/>
      <c r="C110" s="92"/>
      <c r="D110" s="92"/>
      <c r="E110" s="92"/>
      <c r="F110" s="92"/>
      <c r="G110" s="92"/>
      <c r="H110" s="92"/>
    </row>
    <row r="111" spans="1:8">
      <c r="A111" s="91"/>
      <c r="B111" s="92"/>
      <c r="C111" s="92"/>
      <c r="D111" s="92"/>
      <c r="E111" s="92"/>
      <c r="F111" s="92"/>
      <c r="G111" s="92"/>
      <c r="H111" s="92"/>
    </row>
    <row r="112" spans="1:8">
      <c r="A112" s="91">
        <f>A53</f>
        <v>0</v>
      </c>
      <c r="B112" s="92"/>
      <c r="C112" s="92"/>
      <c r="D112" s="92"/>
      <c r="E112" s="92"/>
      <c r="F112" s="92"/>
      <c r="G112" s="92"/>
      <c r="H112" s="92"/>
    </row>
    <row r="113" spans="1:8">
      <c r="A113" s="91"/>
      <c r="B113" s="92"/>
      <c r="C113" s="92"/>
      <c r="D113" s="92"/>
      <c r="E113" s="92"/>
      <c r="F113" s="92"/>
      <c r="G113" s="92"/>
      <c r="H113" s="92"/>
    </row>
    <row r="114" spans="1:8">
      <c r="A114" s="91"/>
      <c r="B114" s="92"/>
      <c r="C114" s="92"/>
      <c r="D114" s="92"/>
      <c r="E114" s="92"/>
      <c r="F114" s="92"/>
      <c r="G114" s="92"/>
      <c r="H114" s="92"/>
    </row>
    <row r="115" spans="1:8">
      <c r="A115" s="91" t="str">
        <f>A54</f>
        <v>Groundnut</v>
      </c>
      <c r="B115" s="92"/>
      <c r="C115" s="92"/>
      <c r="D115" s="92"/>
      <c r="E115" s="92"/>
      <c r="F115" s="92"/>
      <c r="G115" s="92"/>
      <c r="H115" s="92"/>
    </row>
    <row r="116" spans="1:8">
      <c r="A116" s="91"/>
      <c r="B116" s="92"/>
      <c r="C116" s="92"/>
      <c r="D116" s="92"/>
      <c r="E116" s="92"/>
      <c r="F116" s="92"/>
      <c r="G116" s="92"/>
      <c r="H116" s="92"/>
    </row>
    <row r="117" spans="1:8">
      <c r="A117" s="91"/>
      <c r="B117" s="92"/>
      <c r="C117" s="92"/>
      <c r="D117" s="92"/>
      <c r="E117" s="92"/>
      <c r="F117" s="92"/>
      <c r="G117" s="92"/>
      <c r="H117" s="92"/>
    </row>
    <row r="118" spans="1:8">
      <c r="A118" s="91">
        <f>A55</f>
        <v>0</v>
      </c>
      <c r="B118" s="92"/>
      <c r="C118" s="92"/>
      <c r="D118" s="92"/>
      <c r="E118" s="92"/>
      <c r="F118" s="92"/>
      <c r="G118" s="92"/>
      <c r="H118" s="92"/>
    </row>
    <row r="119" spans="1:8">
      <c r="A119" s="91"/>
      <c r="B119" s="92"/>
      <c r="C119" s="92"/>
      <c r="D119" s="92"/>
      <c r="E119" s="92"/>
      <c r="F119" s="92"/>
      <c r="G119" s="92"/>
      <c r="H119" s="92"/>
    </row>
    <row r="120" spans="1:8">
      <c r="A120" s="91"/>
      <c r="B120" s="92"/>
      <c r="C120" s="92"/>
      <c r="D120" s="92"/>
      <c r="E120" s="92"/>
      <c r="F120" s="92"/>
      <c r="G120" s="92"/>
      <c r="H120" s="92"/>
    </row>
    <row r="121" spans="1:8">
      <c r="A121" s="91">
        <f>A56</f>
        <v>0</v>
      </c>
      <c r="B121" s="92"/>
      <c r="C121" s="92"/>
      <c r="D121" s="92"/>
      <c r="E121" s="92"/>
      <c r="F121" s="92"/>
      <c r="G121" s="92"/>
      <c r="H121" s="92"/>
    </row>
    <row r="122" spans="1:8">
      <c r="A122" s="182"/>
      <c r="B122" s="293"/>
      <c r="C122" s="293"/>
      <c r="D122" s="293"/>
      <c r="E122" s="293"/>
      <c r="F122" s="293"/>
      <c r="G122" s="293"/>
      <c r="H122" s="293"/>
    </row>
    <row r="123" spans="1:8">
      <c r="A123" s="182"/>
      <c r="B123" s="293"/>
      <c r="C123" s="293"/>
      <c r="D123" s="293"/>
      <c r="E123" s="293"/>
      <c r="F123" s="293"/>
      <c r="G123" s="293"/>
      <c r="H123" s="293"/>
    </row>
    <row r="124" spans="1:8">
      <c r="A124" s="183" t="s">
        <v>439</v>
      </c>
      <c r="B124">
        <v>50</v>
      </c>
    </row>
    <row r="131" spans="1:12" ht="17.5">
      <c r="A131" s="473" t="s">
        <v>581</v>
      </c>
      <c r="B131" s="473"/>
      <c r="C131" s="473"/>
      <c r="D131" s="473"/>
      <c r="E131" s="473"/>
      <c r="F131" s="473"/>
      <c r="G131" s="473"/>
      <c r="H131" s="473"/>
      <c r="I131" s="473"/>
      <c r="J131" s="473"/>
    </row>
    <row r="132" spans="1:12">
      <c r="A132" s="60"/>
      <c r="B132" s="62"/>
      <c r="C132" s="62"/>
      <c r="D132" s="60"/>
      <c r="E132" s="60"/>
      <c r="F132" s="60"/>
      <c r="G132" s="60"/>
      <c r="H132" s="60"/>
    </row>
    <row r="133" spans="1:12">
      <c r="A133" s="188"/>
      <c r="B133" s="188"/>
      <c r="C133" s="188"/>
      <c r="D133" s="189">
        <v>1</v>
      </c>
      <c r="E133" s="190">
        <f>(D133*5%)+D133</f>
        <v>1.05</v>
      </c>
      <c r="F133" s="190">
        <f t="shared" ref="F133:J133" si="22">(E133*5%)+E133</f>
        <v>1.1025</v>
      </c>
      <c r="G133" s="190">
        <f t="shared" si="22"/>
        <v>1.1576250000000001</v>
      </c>
      <c r="H133" s="190">
        <f t="shared" si="22"/>
        <v>1.2155062500000002</v>
      </c>
      <c r="I133" s="190">
        <f t="shared" si="22"/>
        <v>1.2762815625000004</v>
      </c>
      <c r="J133" s="190">
        <f t="shared" si="22"/>
        <v>1.3400956406250004</v>
      </c>
    </row>
    <row r="134" spans="1:12">
      <c r="A134" s="90"/>
      <c r="B134" s="90"/>
      <c r="C134" s="90"/>
      <c r="D134" s="90"/>
      <c r="E134" s="90"/>
      <c r="F134" s="90"/>
      <c r="G134" s="90"/>
      <c r="H134" s="90"/>
      <c r="I134" s="90"/>
      <c r="J134" s="90"/>
    </row>
    <row r="135" spans="1:12">
      <c r="A135" s="144" t="s">
        <v>0</v>
      </c>
      <c r="B135" s="144" t="s">
        <v>133</v>
      </c>
      <c r="C135" s="144" t="s">
        <v>153</v>
      </c>
      <c r="D135" s="116" t="s">
        <v>2</v>
      </c>
      <c r="E135" s="116" t="s">
        <v>3</v>
      </c>
      <c r="F135" s="116" t="s">
        <v>4</v>
      </c>
      <c r="G135" s="116" t="s">
        <v>5</v>
      </c>
      <c r="H135" s="116" t="s">
        <v>6</v>
      </c>
      <c r="I135" s="116" t="s">
        <v>169</v>
      </c>
      <c r="J135" s="116" t="s">
        <v>168</v>
      </c>
    </row>
    <row r="136" spans="1:12">
      <c r="A136" s="95"/>
      <c r="B136" s="95"/>
      <c r="C136" s="95"/>
      <c r="D136" s="95"/>
      <c r="E136" s="95"/>
      <c r="F136" s="95"/>
      <c r="G136" s="95"/>
      <c r="H136" s="95"/>
      <c r="I136" s="91"/>
      <c r="J136" s="91"/>
    </row>
    <row r="137" spans="1:12">
      <c r="A137" s="97" t="s">
        <v>127</v>
      </c>
      <c r="B137" s="97"/>
      <c r="C137" s="97"/>
      <c r="D137" s="429"/>
      <c r="E137" s="429"/>
      <c r="F137" s="429"/>
      <c r="G137" s="429"/>
      <c r="H137" s="429"/>
      <c r="I137" s="91"/>
      <c r="J137" s="91"/>
    </row>
    <row r="138" spans="1:12">
      <c r="A138" s="97" t="s">
        <v>719</v>
      </c>
      <c r="B138" s="97"/>
      <c r="C138" s="97"/>
      <c r="D138" s="95"/>
      <c r="E138" s="95"/>
      <c r="F138" s="95"/>
      <c r="G138" s="95"/>
      <c r="H138" s="95"/>
      <c r="I138" s="91"/>
      <c r="J138" s="91"/>
    </row>
    <row r="139" spans="1:12">
      <c r="A139" s="95" t="str">
        <f>Output!K18</f>
        <v>Ground Nut Seed</v>
      </c>
      <c r="B139" s="95" t="s">
        <v>755</v>
      </c>
      <c r="C139" s="95">
        <f>270*25</f>
        <v>6750</v>
      </c>
      <c r="D139" s="191">
        <f>((1-'5.Closing Stock &amp; W Capital'!$D$17)*Output!L18)*$C139*D$133</f>
        <v>0</v>
      </c>
      <c r="E139" s="191">
        <f>(((1-'5.Closing Stock &amp; W Capital'!$D$17)*Output!M18)+('5.Closing Stock &amp; W Capital'!$D$17*Output!L18))*$C139*E$133</f>
        <v>0</v>
      </c>
      <c r="F139" s="191">
        <f>(((1-'5.Closing Stock &amp; W Capital'!$D$17)*Output!N18)+('5.Closing Stock &amp; W Capital'!$D$17*Output!M18))*$C139*F$133</f>
        <v>0</v>
      </c>
      <c r="G139" s="191">
        <f>(((1-'5.Closing Stock &amp; W Capital'!$D$17)*Output!O18)+('5.Closing Stock &amp; W Capital'!$D$17*Output!N18))*$C139*G$133</f>
        <v>0</v>
      </c>
      <c r="H139" s="191">
        <f>(((1-'5.Closing Stock &amp; W Capital'!$D$17)*Output!P18)+('5.Closing Stock &amp; W Capital'!$D$17*Output!O18))*$C139*H$133</f>
        <v>0</v>
      </c>
      <c r="I139" s="92">
        <f>(((1-'5.Closing Stock &amp; W Capital'!$D$17)*Output!Q18)+('5.Closing Stock &amp; W Capital'!$D$17*Output!P18))*$C139*I$133</f>
        <v>0</v>
      </c>
      <c r="J139" s="92">
        <f>(((1-'5.Closing Stock &amp; W Capital'!$D$17)*Output!R18)+('5.Closing Stock &amp; W Capital'!$D$17*Output!Q18))*$C139*J$133</f>
        <v>0</v>
      </c>
      <c r="K139" s="66"/>
      <c r="L139" s="66"/>
    </row>
    <row r="140" spans="1:12">
      <c r="A140" s="95" t="str">
        <f>Output!K20</f>
        <v>Sunflower Seed</v>
      </c>
      <c r="B140" s="95" t="s">
        <v>755</v>
      </c>
      <c r="C140" s="95">
        <f>240*25</f>
        <v>6000</v>
      </c>
      <c r="D140" s="191">
        <f>((1-'5.Closing Stock &amp; W Capital'!$D$17)*Output!L20)*$C140*D$133</f>
        <v>0</v>
      </c>
      <c r="E140" s="191">
        <f>(((1-'5.Closing Stock &amp; W Capital'!$D$17)*Output!M20)+('5.Closing Stock &amp; W Capital'!$D$17*Output!L20))*$C140*E$133</f>
        <v>0</v>
      </c>
      <c r="F140" s="191">
        <f>(((1-'5.Closing Stock &amp; W Capital'!$D$17)*Output!N20)+('5.Closing Stock &amp; W Capital'!$D$17*Output!M20))*$C140*F$133</f>
        <v>0</v>
      </c>
      <c r="G140" s="191">
        <f>(((1-'5.Closing Stock &amp; W Capital'!$D$17)*Output!O20)+('5.Closing Stock &amp; W Capital'!$D$17*Output!N20))*$C140*G$133</f>
        <v>0</v>
      </c>
      <c r="H140" s="191">
        <f>(((1-'5.Closing Stock &amp; W Capital'!$D$17)*Output!P20)+('5.Closing Stock &amp; W Capital'!$D$17*Output!O20))*$C140*H$133</f>
        <v>0</v>
      </c>
      <c r="I140" s="92">
        <f>(((1-'5.Closing Stock &amp; W Capital'!$D$17)*Output!Q20)+('5.Closing Stock &amp; W Capital'!$D$17*Output!P20))*$C140*I$133</f>
        <v>0</v>
      </c>
      <c r="J140" s="92">
        <f>(((1-'5.Closing Stock &amp; W Capital'!$D$17)*Output!R20)+('5.Closing Stock &amp; W Capital'!$D$17*Output!Q20))*$C140*J$133</f>
        <v>0</v>
      </c>
      <c r="K140" s="66"/>
      <c r="L140" s="66"/>
    </row>
    <row r="141" spans="1:12">
      <c r="A141" s="95"/>
      <c r="B141" s="95" t="s">
        <v>755</v>
      </c>
      <c r="C141" s="95">
        <f>420*25</f>
        <v>10500</v>
      </c>
      <c r="D141" s="191"/>
      <c r="E141" s="191"/>
      <c r="F141" s="191"/>
      <c r="G141" s="191"/>
      <c r="H141" s="191"/>
      <c r="I141" s="92"/>
      <c r="J141" s="92"/>
    </row>
    <row r="142" spans="1:12">
      <c r="A142" s="97" t="s">
        <v>718</v>
      </c>
      <c r="B142" s="95"/>
      <c r="C142" s="95"/>
      <c r="D142" s="191"/>
      <c r="E142" s="191"/>
      <c r="F142" s="191"/>
      <c r="G142" s="191"/>
      <c r="H142" s="191"/>
      <c r="I142" s="92"/>
      <c r="J142" s="92"/>
    </row>
    <row r="143" spans="1:12">
      <c r="A143" s="95" t="str">
        <f>A139</f>
        <v>Ground Nut Seed</v>
      </c>
      <c r="B143" s="95" t="s">
        <v>355</v>
      </c>
      <c r="C143" s="95">
        <f>20*50</f>
        <v>1000</v>
      </c>
      <c r="D143" s="191">
        <f>((1-'5.Closing Stock &amp; W Capital'!$D$17)*Output!L23)*$C143*D$133</f>
        <v>0</v>
      </c>
      <c r="E143" s="191">
        <f>((1-'5.Closing Stock &amp; W Capital'!$D$17)*Output!M23)*$C143*E$133</f>
        <v>0</v>
      </c>
      <c r="F143" s="191">
        <f>((1-'5.Closing Stock &amp; W Capital'!$D$17)*Output!N23)*$C143*F$133</f>
        <v>0</v>
      </c>
      <c r="G143" s="191">
        <f>((1-'5.Closing Stock &amp; W Capital'!$D$17)*Output!O23)*$C143*G$133</f>
        <v>0</v>
      </c>
      <c r="H143" s="191">
        <f>((1-'5.Closing Stock &amp; W Capital'!$D$17)*Output!P23)*$C143*H$133</f>
        <v>0</v>
      </c>
      <c r="I143" s="92">
        <f>((1-'5.Closing Stock &amp; W Capital'!$D$17)*Output!Q23)*$C143*I$133</f>
        <v>0</v>
      </c>
      <c r="J143" s="92">
        <f>((1-'5.Closing Stock &amp; W Capital'!$D$17)*Output!R23)*$C143*J$133</f>
        <v>0</v>
      </c>
    </row>
    <row r="144" spans="1:12">
      <c r="A144" s="95" t="str">
        <f>A140</f>
        <v>Sunflower Seed</v>
      </c>
      <c r="B144" s="95" t="str">
        <f>B143</f>
        <v>50 Kg</v>
      </c>
      <c r="C144" s="95">
        <f>22*50</f>
        <v>1100</v>
      </c>
      <c r="D144" s="191">
        <f>((1-'5.Closing Stock &amp; W Capital'!$D$17)*Output!L24)*$C144*D$133</f>
        <v>0</v>
      </c>
      <c r="E144" s="191">
        <f>((1-'5.Closing Stock &amp; W Capital'!$D$17)*Output!M24)*$C144*E$133</f>
        <v>0</v>
      </c>
      <c r="F144" s="191">
        <f>((1-'5.Closing Stock &amp; W Capital'!$D$17)*Output!N24)*$C144*F$133</f>
        <v>0</v>
      </c>
      <c r="G144" s="191">
        <f>((1-'5.Closing Stock &amp; W Capital'!$D$17)*Output!O24)*$C144*G$133</f>
        <v>0</v>
      </c>
      <c r="H144" s="191">
        <f>((1-'5.Closing Stock &amp; W Capital'!$D$17)*Output!P24)*$C144*H$133</f>
        <v>0</v>
      </c>
      <c r="I144" s="92">
        <f>((1-'5.Closing Stock &amp; W Capital'!$D$17)*Output!Q24)*$C144*I$133</f>
        <v>0</v>
      </c>
      <c r="J144" s="92">
        <f>((1-'5.Closing Stock &amp; W Capital'!$D$17)*Output!R24)*$C144*J$133</f>
        <v>0</v>
      </c>
    </row>
    <row r="145" spans="1:10">
      <c r="A145" s="95"/>
      <c r="B145" s="95" t="str">
        <f t="shared" ref="B145" si="23">B144</f>
        <v>50 Kg</v>
      </c>
      <c r="C145" s="95"/>
      <c r="D145" s="191"/>
      <c r="E145" s="191"/>
      <c r="F145" s="191"/>
      <c r="G145" s="191"/>
      <c r="H145" s="191"/>
      <c r="I145" s="92"/>
      <c r="J145" s="92"/>
    </row>
    <row r="146" spans="1:10">
      <c r="A146" s="97" t="s">
        <v>127</v>
      </c>
      <c r="B146" s="97"/>
      <c r="C146" s="97"/>
      <c r="D146" s="421">
        <f t="shared" ref="D146:J146" si="24">SUM(D139:D145)</f>
        <v>0</v>
      </c>
      <c r="E146" s="421">
        <f t="shared" si="24"/>
        <v>0</v>
      </c>
      <c r="F146" s="421">
        <f t="shared" si="24"/>
        <v>0</v>
      </c>
      <c r="G146" s="421">
        <f t="shared" si="24"/>
        <v>0</v>
      </c>
      <c r="H146" s="421">
        <f t="shared" si="24"/>
        <v>0</v>
      </c>
      <c r="I146" s="111">
        <f t="shared" si="24"/>
        <v>0</v>
      </c>
      <c r="J146" s="111">
        <f t="shared" si="24"/>
        <v>0</v>
      </c>
    </row>
    <row r="147" spans="1:10">
      <c r="A147" s="95"/>
      <c r="B147" s="95"/>
      <c r="C147" s="95"/>
      <c r="D147" s="191"/>
      <c r="E147" s="191"/>
      <c r="F147" s="191"/>
      <c r="G147" s="191"/>
      <c r="H147" s="191"/>
      <c r="I147" s="92"/>
      <c r="J147" s="92"/>
    </row>
    <row r="148" spans="1:10">
      <c r="A148" s="97" t="s">
        <v>143</v>
      </c>
      <c r="B148" s="97"/>
      <c r="C148" s="97"/>
      <c r="D148" s="191"/>
      <c r="E148" s="191"/>
      <c r="F148" s="191"/>
      <c r="G148" s="191"/>
      <c r="H148" s="191"/>
      <c r="I148" s="92"/>
      <c r="J148" s="92"/>
    </row>
    <row r="149" spans="1:10">
      <c r="A149" s="97" t="s">
        <v>307</v>
      </c>
      <c r="B149" s="97"/>
      <c r="C149" s="95"/>
      <c r="D149" s="191"/>
      <c r="E149" s="191"/>
      <c r="F149" s="191"/>
      <c r="G149" s="191"/>
      <c r="H149" s="191"/>
      <c r="I149" s="92"/>
      <c r="J149" s="92"/>
    </row>
    <row r="150" spans="1:10">
      <c r="A150" s="95" t="str">
        <f>A143</f>
        <v>Ground Nut Seed</v>
      </c>
      <c r="B150" s="95" t="s">
        <v>357</v>
      </c>
      <c r="C150" s="191">
        <v>9200</v>
      </c>
      <c r="D150" s="191">
        <f>(Output!L13/100)*$C150*D$133</f>
        <v>0</v>
      </c>
      <c r="E150" s="191">
        <f>(Output!M13/100)*$C150*E$133</f>
        <v>0</v>
      </c>
      <c r="F150" s="191">
        <f>(Output!N13/100)*$C150*F$133</f>
        <v>0</v>
      </c>
      <c r="G150" s="191">
        <f>(Output!O13/100)*$C150*G$133</f>
        <v>0</v>
      </c>
      <c r="H150" s="191">
        <f>(Output!P13/100)*$C150*H$133</f>
        <v>0</v>
      </c>
      <c r="I150" s="92">
        <f>(Output!Q13/100)*$C150*I$133</f>
        <v>0</v>
      </c>
      <c r="J150" s="92">
        <f>(Output!R13/100)*$C150*J$133</f>
        <v>0</v>
      </c>
    </row>
    <row r="151" spans="1:10">
      <c r="A151" s="95" t="str">
        <f>A144</f>
        <v>Sunflower Seed</v>
      </c>
      <c r="B151" s="95" t="s">
        <v>357</v>
      </c>
      <c r="C151" s="191">
        <v>6500</v>
      </c>
      <c r="D151" s="191">
        <f>(Output!L15/100)*$C151*D$133</f>
        <v>0</v>
      </c>
      <c r="E151" s="191">
        <f>(Output!M15/100)*$C151*E$133</f>
        <v>0</v>
      </c>
      <c r="F151" s="191">
        <f>(Output!N15/100)*$C151*F$133</f>
        <v>0</v>
      </c>
      <c r="G151" s="191">
        <f>(Output!O15/100)*$C151*G$133</f>
        <v>0</v>
      </c>
      <c r="H151" s="191">
        <f>(Output!P15/100)*$C151*H$133</f>
        <v>0</v>
      </c>
      <c r="I151" s="92">
        <f>(Output!Q15/100)*$C151*I$133</f>
        <v>0</v>
      </c>
      <c r="J151" s="92">
        <f>(Output!R15/100)*$C151*J$133</f>
        <v>0</v>
      </c>
    </row>
    <row r="152" spans="1:10">
      <c r="A152" s="95">
        <f>A145</f>
        <v>0</v>
      </c>
      <c r="B152" s="95" t="s">
        <v>357</v>
      </c>
      <c r="C152" s="191"/>
      <c r="D152" s="191"/>
      <c r="E152" s="191"/>
      <c r="F152" s="191"/>
      <c r="G152" s="191"/>
      <c r="H152" s="191"/>
      <c r="I152" s="92"/>
      <c r="J152" s="92"/>
    </row>
    <row r="153" spans="1:10">
      <c r="A153" s="95" t="s">
        <v>313</v>
      </c>
      <c r="B153" s="95"/>
      <c r="C153" s="95"/>
      <c r="D153" s="191">
        <f>(Output!L9*'13.Facility 2 Grain Processing'!$B$153*'13.Facility 2 Grain Processing'!$C$153*'13.Facility 2 Grain Processing'!D133)</f>
        <v>0</v>
      </c>
      <c r="E153" s="191">
        <f>(Output!M9*'13.Facility 2 Grain Processing'!$B$153*'13.Facility 2 Grain Processing'!$C$153*'13.Facility 2 Grain Processing'!E133)</f>
        <v>0</v>
      </c>
      <c r="F153" s="191">
        <f>(Output!N9*'13.Facility 2 Grain Processing'!$B$153*'13.Facility 2 Grain Processing'!$C$153*'13.Facility 2 Grain Processing'!F133)</f>
        <v>0</v>
      </c>
      <c r="G153" s="191">
        <f>(Output!O9*'13.Facility 2 Grain Processing'!$B$153*'13.Facility 2 Grain Processing'!$C$153*'13.Facility 2 Grain Processing'!G133)</f>
        <v>0</v>
      </c>
      <c r="H153" s="191">
        <f>(Output!P9*'13.Facility 2 Grain Processing'!$B$153*'13.Facility 2 Grain Processing'!$C$153*'13.Facility 2 Grain Processing'!H133)</f>
        <v>0</v>
      </c>
      <c r="I153" s="92">
        <f>(Output!Q9*'13.Facility 2 Grain Processing'!$B$153*'13.Facility 2 Grain Processing'!$C$153*'13.Facility 2 Grain Processing'!I133)</f>
        <v>0</v>
      </c>
      <c r="J153" s="92">
        <f>(Output!R9*'13.Facility 2 Grain Processing'!$B$153*'13.Facility 2 Grain Processing'!$C$153*'13.Facility 2 Grain Processing'!J133)</f>
        <v>0</v>
      </c>
    </row>
    <row r="154" spans="1:10">
      <c r="A154" s="95" t="s">
        <v>145</v>
      </c>
      <c r="B154" s="95"/>
      <c r="C154" s="95"/>
      <c r="D154" s="191">
        <f>(Output!L9*$B$154*$C$154*D133)</f>
        <v>0</v>
      </c>
      <c r="E154" s="191">
        <f>(Output!M9*$B$154*$C$154*E133)</f>
        <v>0</v>
      </c>
      <c r="F154" s="191">
        <f>(Output!N9*$B$154*$C$154*F133)</f>
        <v>0</v>
      </c>
      <c r="G154" s="191">
        <f>(Output!O9*$B$154*$C$154*G133)</f>
        <v>0</v>
      </c>
      <c r="H154" s="191">
        <f>(Output!P9*$B$154*$C$154*H133)</f>
        <v>0</v>
      </c>
      <c r="I154" s="92">
        <f>(Output!Q9*$B$154*$C$154*I133)</f>
        <v>0</v>
      </c>
      <c r="J154" s="92">
        <f>(Output!R9*$B$154*$C$154*J133)</f>
        <v>0</v>
      </c>
    </row>
    <row r="155" spans="1:10">
      <c r="A155" s="95" t="s">
        <v>291</v>
      </c>
      <c r="B155" s="95"/>
      <c r="C155" s="95">
        <v>20</v>
      </c>
      <c r="D155" s="191">
        <f>(Output!L10/50)*$C$155*D133</f>
        <v>0</v>
      </c>
      <c r="E155" s="191">
        <f>(Output!M10/50)*$C$155*E133</f>
        <v>0</v>
      </c>
      <c r="F155" s="191">
        <f>(Output!N10/50)*$C$155*F133</f>
        <v>0</v>
      </c>
      <c r="G155" s="191">
        <f>(Output!O10/50)*$C$155*G133</f>
        <v>0</v>
      </c>
      <c r="H155" s="191">
        <f>(Output!P10/50)*$C$155*H133</f>
        <v>0</v>
      </c>
      <c r="I155" s="92">
        <f>(Output!Q10/50)*$C$155*I133</f>
        <v>0</v>
      </c>
      <c r="J155" s="92">
        <f>(Output!R10/50)*$C$155*J133</f>
        <v>0</v>
      </c>
    </row>
    <row r="156" spans="1:10">
      <c r="A156" s="95" t="s">
        <v>748</v>
      </c>
      <c r="B156" s="95"/>
      <c r="C156" s="311">
        <v>0.03</v>
      </c>
      <c r="D156" s="191"/>
      <c r="E156" s="191"/>
      <c r="F156" s="191"/>
      <c r="G156" s="191"/>
      <c r="H156" s="191"/>
      <c r="I156" s="92"/>
      <c r="J156" s="92"/>
    </row>
    <row r="157" spans="1:10">
      <c r="A157" s="283" t="s">
        <v>720</v>
      </c>
      <c r="B157" s="283"/>
      <c r="C157" s="283">
        <v>40</v>
      </c>
      <c r="D157" s="191">
        <f>SUM(Output!L18:L20)*$C$157*D133</f>
        <v>0</v>
      </c>
      <c r="E157" s="191">
        <f>SUM(Output!M18:M20)*$C$157*E133</f>
        <v>0</v>
      </c>
      <c r="F157" s="191">
        <f>SUM(Output!N18:N20)*$C$157*F133</f>
        <v>0</v>
      </c>
      <c r="G157" s="191">
        <f>SUM(Output!O18:O20)*$C$157*G133</f>
        <v>0</v>
      </c>
      <c r="H157" s="191">
        <f>SUM(Output!P18:P20)*$C$157*H133</f>
        <v>0</v>
      </c>
      <c r="I157" s="92">
        <f>SUM(Output!Q18:Q20)*$C$157*I133</f>
        <v>0</v>
      </c>
      <c r="J157" s="92">
        <f>SUM(Output!R18:R20)*$C$157*J133</f>
        <v>0</v>
      </c>
    </row>
    <row r="158" spans="1:10">
      <c r="A158" s="283" t="s">
        <v>721</v>
      </c>
      <c r="B158" s="283"/>
      <c r="C158" s="283">
        <v>50</v>
      </c>
      <c r="D158" s="191">
        <f>SUM(Output!L18:L20)*$C$158*D133</f>
        <v>0</v>
      </c>
      <c r="E158" s="191">
        <f>SUM(Output!M18:M20)*$C$158*E133</f>
        <v>0</v>
      </c>
      <c r="F158" s="191">
        <f>SUM(Output!N18:N20)*$C$158*F133</f>
        <v>0</v>
      </c>
      <c r="G158" s="191">
        <f>SUM(Output!O18:O20)*$C$158*G133</f>
        <v>0</v>
      </c>
      <c r="H158" s="191">
        <f>SUM(Output!P18:P20)*$C$158*H133</f>
        <v>0</v>
      </c>
      <c r="I158" s="92">
        <f>SUM(Output!Q18:Q20)*$C$158*I133</f>
        <v>0</v>
      </c>
      <c r="J158" s="92">
        <f>SUM(Output!R18:R20)*$C$158*J133</f>
        <v>0</v>
      </c>
    </row>
    <row r="159" spans="1:10">
      <c r="A159" s="95" t="s">
        <v>749</v>
      </c>
      <c r="B159" s="95"/>
      <c r="C159" s="95">
        <v>40</v>
      </c>
      <c r="D159" s="191">
        <f>SUM(Output!L10/100)*$C$159*D133</f>
        <v>0</v>
      </c>
      <c r="E159" s="191">
        <f>SUM(Output!M10/100)*$C$159*E133</f>
        <v>0</v>
      </c>
      <c r="F159" s="191">
        <f>SUM(Output!N10/100)*$C$159*F133</f>
        <v>0</v>
      </c>
      <c r="G159" s="191">
        <f>SUM(Output!O10/100)*$C$159*G133</f>
        <v>0</v>
      </c>
      <c r="H159" s="191">
        <f>SUM(Output!P10/100)*$C$159*H133</f>
        <v>0</v>
      </c>
      <c r="I159" s="92">
        <f>SUM(Output!Q10/100)*$C$159*I133</f>
        <v>0</v>
      </c>
      <c r="J159" s="92">
        <f>SUM(Output!R10/100)*$C$159*J133</f>
        <v>0</v>
      </c>
    </row>
    <row r="160" spans="1:10">
      <c r="A160" s="95" t="s">
        <v>750</v>
      </c>
      <c r="B160" s="281"/>
      <c r="C160" s="281"/>
      <c r="D160" s="423"/>
      <c r="E160" s="423"/>
      <c r="F160" s="423"/>
      <c r="G160" s="423"/>
      <c r="H160" s="423"/>
      <c r="I160" s="26"/>
      <c r="J160" s="26"/>
    </row>
    <row r="161" spans="1:10">
      <c r="A161" s="281"/>
      <c r="B161" s="281"/>
      <c r="C161" s="281"/>
      <c r="D161" s="430"/>
      <c r="E161" s="281"/>
      <c r="F161" s="281"/>
      <c r="G161" s="281"/>
      <c r="H161" s="281"/>
      <c r="I161" s="10"/>
      <c r="J161" s="10"/>
    </row>
    <row r="162" spans="1:10">
      <c r="A162" s="281"/>
      <c r="B162" s="281"/>
      <c r="C162" s="281"/>
      <c r="D162" s="431"/>
      <c r="E162" s="281"/>
      <c r="F162" s="281"/>
      <c r="G162" s="281"/>
      <c r="H162" s="281"/>
      <c r="I162" s="10"/>
      <c r="J162" s="10"/>
    </row>
    <row r="163" spans="1:10">
      <c r="A163" s="281"/>
      <c r="B163" s="281"/>
      <c r="C163" s="281"/>
      <c r="D163" s="281"/>
      <c r="E163" s="281"/>
      <c r="F163" s="281"/>
      <c r="G163" s="281"/>
      <c r="H163" s="281"/>
      <c r="I163" s="10"/>
      <c r="J163" s="10"/>
    </row>
    <row r="164" spans="1:10">
      <c r="A164" s="191" t="s">
        <v>336</v>
      </c>
      <c r="B164" s="191"/>
      <c r="C164" s="191"/>
      <c r="D164" s="191"/>
      <c r="E164" s="191">
        <f>'5.Closing Stock &amp; W Capital'!F8</f>
        <v>0</v>
      </c>
      <c r="F164" s="191">
        <f>'5.Closing Stock &amp; W Capital'!G8</f>
        <v>0</v>
      </c>
      <c r="G164" s="191">
        <f>'5.Closing Stock &amp; W Capital'!H8</f>
        <v>0</v>
      </c>
      <c r="H164" s="191">
        <f>'5.Closing Stock &amp; W Capital'!I8</f>
        <v>0</v>
      </c>
      <c r="I164" s="92">
        <f>'5.Closing Stock &amp; W Capital'!J8</f>
        <v>0</v>
      </c>
      <c r="J164" s="92">
        <f>'5.Closing Stock &amp; W Capital'!K8</f>
        <v>0</v>
      </c>
    </row>
    <row r="165" spans="1:10">
      <c r="A165" s="191" t="s">
        <v>337</v>
      </c>
      <c r="B165" s="191"/>
      <c r="C165" s="191"/>
      <c r="D165" s="191">
        <f>'5.Closing Stock &amp; W Capital'!E17</f>
        <v>0</v>
      </c>
      <c r="E165" s="191">
        <f>'5.Closing Stock &amp; W Capital'!F17</f>
        <v>0</v>
      </c>
      <c r="F165" s="191">
        <f>'5.Closing Stock &amp; W Capital'!G17</f>
        <v>0</v>
      </c>
      <c r="G165" s="191">
        <f>'5.Closing Stock &amp; W Capital'!H17</f>
        <v>0</v>
      </c>
      <c r="H165" s="191">
        <f>'5.Closing Stock &amp; W Capital'!I17</f>
        <v>0</v>
      </c>
      <c r="I165" s="92">
        <f>'5.Closing Stock &amp; W Capital'!J17</f>
        <v>0</v>
      </c>
      <c r="J165" s="92">
        <f>'5.Closing Stock &amp; W Capital'!K17</f>
        <v>0</v>
      </c>
    </row>
    <row r="166" spans="1:10">
      <c r="A166" s="191"/>
      <c r="B166" s="191"/>
      <c r="C166" s="191"/>
      <c r="D166" s="191"/>
      <c r="E166" s="191"/>
      <c r="F166" s="191"/>
      <c r="G166" s="191"/>
      <c r="H166" s="191"/>
      <c r="I166" s="92"/>
      <c r="J166" s="92"/>
    </row>
    <row r="167" spans="1:10">
      <c r="A167" s="421" t="s">
        <v>314</v>
      </c>
      <c r="B167" s="191"/>
      <c r="C167" s="191"/>
      <c r="D167" s="421">
        <f t="shared" ref="D167:J167" si="25">SUM(D150:D164)-D165</f>
        <v>0</v>
      </c>
      <c r="E167" s="421">
        <f t="shared" si="25"/>
        <v>0</v>
      </c>
      <c r="F167" s="421">
        <f t="shared" si="25"/>
        <v>0</v>
      </c>
      <c r="G167" s="421">
        <f t="shared" si="25"/>
        <v>0</v>
      </c>
      <c r="H167" s="421">
        <f t="shared" si="25"/>
        <v>0</v>
      </c>
      <c r="I167" s="111">
        <f t="shared" si="25"/>
        <v>0</v>
      </c>
      <c r="J167" s="111">
        <f t="shared" si="25"/>
        <v>0</v>
      </c>
    </row>
    <row r="168" spans="1:10">
      <c r="A168" s="95"/>
      <c r="B168" s="95"/>
      <c r="C168" s="95"/>
      <c r="D168" s="95"/>
      <c r="E168" s="95"/>
      <c r="F168" s="95"/>
      <c r="G168" s="95"/>
      <c r="H168" s="95"/>
      <c r="I168" s="91"/>
      <c r="J168" s="91"/>
    </row>
    <row r="169" spans="1:10">
      <c r="A169" s="426" t="s">
        <v>306</v>
      </c>
      <c r="B169" s="426"/>
      <c r="C169" s="426"/>
      <c r="D169" s="421"/>
      <c r="E169" s="421"/>
      <c r="F169" s="421"/>
      <c r="G169" s="421"/>
      <c r="H169" s="421"/>
      <c r="I169" s="111"/>
      <c r="J169" s="111"/>
    </row>
    <row r="170" spans="1:10">
      <c r="A170" s="95" t="s">
        <v>186</v>
      </c>
      <c r="B170" s="95"/>
      <c r="C170" s="191"/>
      <c r="D170" s="191">
        <f t="shared" ref="D170:J170" si="26">$B$170*$C$170*D133*12</f>
        <v>0</v>
      </c>
      <c r="E170" s="191">
        <f t="shared" si="26"/>
        <v>0</v>
      </c>
      <c r="F170" s="191">
        <f t="shared" si="26"/>
        <v>0</v>
      </c>
      <c r="G170" s="191">
        <f t="shared" si="26"/>
        <v>0</v>
      </c>
      <c r="H170" s="191">
        <f t="shared" si="26"/>
        <v>0</v>
      </c>
      <c r="I170" s="191">
        <f t="shared" si="26"/>
        <v>0</v>
      </c>
      <c r="J170" s="191">
        <f t="shared" si="26"/>
        <v>0</v>
      </c>
    </row>
    <row r="171" spans="1:10">
      <c r="A171" s="95" t="s">
        <v>191</v>
      </c>
      <c r="B171" s="95"/>
      <c r="C171" s="191"/>
      <c r="D171" s="191">
        <f t="shared" ref="D171:J171" si="27">$B$171*$C$171*D133*12</f>
        <v>0</v>
      </c>
      <c r="E171" s="191">
        <f t="shared" si="27"/>
        <v>0</v>
      </c>
      <c r="F171" s="191">
        <f t="shared" si="27"/>
        <v>0</v>
      </c>
      <c r="G171" s="191">
        <f t="shared" si="27"/>
        <v>0</v>
      </c>
      <c r="H171" s="191">
        <f t="shared" si="27"/>
        <v>0</v>
      </c>
      <c r="I171" s="191">
        <f t="shared" si="27"/>
        <v>0</v>
      </c>
      <c r="J171" s="191">
        <f t="shared" si="27"/>
        <v>0</v>
      </c>
    </row>
    <row r="172" spans="1:10">
      <c r="A172" s="95"/>
      <c r="B172" s="95"/>
      <c r="C172" s="191"/>
      <c r="D172" s="191"/>
      <c r="E172" s="191"/>
      <c r="F172" s="191"/>
      <c r="G172" s="191"/>
      <c r="H172" s="191"/>
      <c r="I172" s="191"/>
      <c r="J172" s="191"/>
    </row>
    <row r="173" spans="1:10">
      <c r="A173" s="95"/>
      <c r="B173" s="95"/>
      <c r="C173" s="191"/>
      <c r="D173" s="191"/>
      <c r="E173" s="191"/>
      <c r="F173" s="191"/>
      <c r="G173" s="191"/>
      <c r="H173" s="191"/>
      <c r="I173" s="191"/>
      <c r="J173" s="191"/>
    </row>
    <row r="174" spans="1:10">
      <c r="A174" s="97" t="s">
        <v>306</v>
      </c>
      <c r="B174" s="97"/>
      <c r="C174" s="97"/>
      <c r="D174" s="421">
        <f>SUM(D170:D172)</f>
        <v>0</v>
      </c>
      <c r="E174" s="421">
        <f t="shared" ref="E174:J174" si="28">SUM(E170:E172)</f>
        <v>0</v>
      </c>
      <c r="F174" s="421">
        <f t="shared" si="28"/>
        <v>0</v>
      </c>
      <c r="G174" s="421">
        <f t="shared" si="28"/>
        <v>0</v>
      </c>
      <c r="H174" s="421">
        <f t="shared" si="28"/>
        <v>0</v>
      </c>
      <c r="I174" s="421">
        <f t="shared" si="28"/>
        <v>0</v>
      </c>
      <c r="J174" s="421">
        <f t="shared" si="28"/>
        <v>0</v>
      </c>
    </row>
    <row r="175" spans="1:10">
      <c r="A175" s="426" t="s">
        <v>294</v>
      </c>
      <c r="B175" s="426"/>
      <c r="C175" s="426"/>
      <c r="D175" s="421">
        <f>D167+D174</f>
        <v>0</v>
      </c>
      <c r="E175" s="421">
        <f t="shared" ref="E175:J175" si="29">E167+E174</f>
        <v>0</v>
      </c>
      <c r="F175" s="421">
        <f t="shared" si="29"/>
        <v>0</v>
      </c>
      <c r="G175" s="421">
        <f t="shared" si="29"/>
        <v>0</v>
      </c>
      <c r="H175" s="421">
        <f t="shared" si="29"/>
        <v>0</v>
      </c>
      <c r="I175" s="421">
        <f t="shared" si="29"/>
        <v>0</v>
      </c>
      <c r="J175" s="421">
        <f t="shared" si="29"/>
        <v>0</v>
      </c>
    </row>
    <row r="176" spans="1:10">
      <c r="A176" s="95"/>
      <c r="B176" s="95"/>
      <c r="C176" s="95"/>
      <c r="D176" s="191"/>
      <c r="E176" s="191"/>
      <c r="F176" s="191"/>
      <c r="G176" s="191"/>
      <c r="H176" s="191"/>
      <c r="I176" s="191"/>
      <c r="J176" s="191"/>
    </row>
    <row r="177" spans="1:10">
      <c r="A177" s="97" t="s">
        <v>7</v>
      </c>
      <c r="B177" s="97"/>
      <c r="C177" s="97"/>
      <c r="D177" s="421">
        <f t="shared" ref="D177:J177" si="30">D146-D175</f>
        <v>0</v>
      </c>
      <c r="E177" s="421">
        <f t="shared" si="30"/>
        <v>0</v>
      </c>
      <c r="F177" s="421">
        <f t="shared" si="30"/>
        <v>0</v>
      </c>
      <c r="G177" s="421">
        <f t="shared" si="30"/>
        <v>0</v>
      </c>
      <c r="H177" s="421">
        <f t="shared" si="30"/>
        <v>0</v>
      </c>
      <c r="I177" s="421">
        <f t="shared" si="30"/>
        <v>0</v>
      </c>
      <c r="J177" s="421">
        <f t="shared" si="30"/>
        <v>0</v>
      </c>
    </row>
    <row r="178" spans="1:10">
      <c r="A178" s="427"/>
      <c r="B178" s="427"/>
      <c r="C178" s="427"/>
      <c r="D178" s="428"/>
      <c r="E178" s="428"/>
      <c r="F178" s="428"/>
      <c r="G178" s="428"/>
      <c r="H178" s="428"/>
      <c r="I178" s="428"/>
      <c r="J178" s="428"/>
    </row>
    <row r="179" spans="1:10">
      <c r="A179" s="428"/>
      <c r="B179" s="428"/>
      <c r="C179" s="428"/>
      <c r="D179" s="428"/>
      <c r="E179" s="428"/>
      <c r="F179" s="428"/>
      <c r="G179" s="428"/>
      <c r="H179" s="428"/>
      <c r="I179" s="428"/>
      <c r="J179" s="428"/>
    </row>
    <row r="180" spans="1:10">
      <c r="A180" s="428"/>
      <c r="B180" s="428"/>
      <c r="C180" s="428"/>
      <c r="D180" s="428"/>
      <c r="E180" s="428"/>
      <c r="F180" s="428"/>
      <c r="G180" s="428"/>
      <c r="H180" s="428"/>
      <c r="I180" s="428"/>
      <c r="J180" s="428"/>
    </row>
    <row r="181" spans="1:10">
      <c r="A181" s="547" t="s">
        <v>413</v>
      </c>
      <c r="B181" s="547"/>
      <c r="C181" s="547"/>
      <c r="D181" s="547"/>
      <c r="E181" s="547"/>
      <c r="F181" s="547"/>
      <c r="G181" s="547"/>
      <c r="H181" s="547"/>
      <c r="I181" s="547"/>
      <c r="J181" s="547"/>
    </row>
    <row r="182" spans="1:10">
      <c r="A182" s="13"/>
      <c r="B182" s="13"/>
      <c r="C182" s="13"/>
      <c r="D182" s="13"/>
      <c r="E182" s="13"/>
      <c r="F182" s="13"/>
      <c r="G182" s="13"/>
      <c r="H182" s="13"/>
      <c r="I182" s="13"/>
      <c r="J182" s="13"/>
    </row>
    <row r="183" spans="1:10">
      <c r="A183" s="13" t="s">
        <v>530</v>
      </c>
      <c r="B183" s="13"/>
      <c r="C183" s="13"/>
      <c r="D183" s="13"/>
      <c r="E183" s="13"/>
      <c r="F183" s="13"/>
      <c r="G183" s="13"/>
      <c r="H183" s="13"/>
      <c r="I183" s="13"/>
      <c r="J183" s="13"/>
    </row>
    <row r="184" spans="1:10">
      <c r="A184" s="13">
        <v>1</v>
      </c>
      <c r="B184" s="13" t="s">
        <v>543</v>
      </c>
      <c r="C184" s="13"/>
      <c r="D184" s="13"/>
      <c r="E184" s="13"/>
      <c r="F184" s="13"/>
      <c r="G184" s="13"/>
      <c r="H184" s="13"/>
      <c r="I184" s="13"/>
      <c r="J184" s="13"/>
    </row>
    <row r="185" spans="1:10">
      <c r="A185" s="13">
        <v>2</v>
      </c>
      <c r="B185" s="13" t="s">
        <v>544</v>
      </c>
      <c r="C185" s="13"/>
      <c r="D185" s="13"/>
      <c r="E185" s="13"/>
      <c r="F185" s="13"/>
      <c r="G185" s="13"/>
      <c r="H185" s="13"/>
      <c r="I185" s="13"/>
      <c r="J185" s="13"/>
    </row>
    <row r="186" spans="1:10">
      <c r="A186" s="13">
        <v>3</v>
      </c>
      <c r="B186" s="428" t="s">
        <v>595</v>
      </c>
      <c r="C186" s="13"/>
      <c r="D186" s="13"/>
      <c r="E186" s="13"/>
      <c r="F186" s="13"/>
      <c r="G186" s="13"/>
      <c r="H186" s="13"/>
      <c r="I186" s="13"/>
      <c r="J186" s="13"/>
    </row>
    <row r="187" spans="1:10">
      <c r="A187" s="13"/>
      <c r="B187" s="13"/>
      <c r="C187" s="13"/>
      <c r="D187" s="13"/>
      <c r="E187" s="13"/>
      <c r="F187" s="13"/>
      <c r="G187" s="13"/>
      <c r="H187" s="13"/>
      <c r="I187" s="13"/>
      <c r="J187" s="13"/>
    </row>
    <row r="188" spans="1:10">
      <c r="A188" s="13"/>
      <c r="B188" s="13"/>
      <c r="C188" s="13"/>
      <c r="D188" s="13"/>
      <c r="E188" s="13"/>
      <c r="F188" s="13"/>
      <c r="G188" s="13"/>
      <c r="H188" s="13"/>
      <c r="I188" s="13"/>
      <c r="J188" s="13"/>
    </row>
    <row r="189" spans="1:10">
      <c r="A189" s="13" t="s">
        <v>689</v>
      </c>
      <c r="B189" s="13" t="s">
        <v>690</v>
      </c>
      <c r="C189" s="13"/>
      <c r="D189" s="13"/>
      <c r="E189" s="13"/>
      <c r="F189" s="13"/>
      <c r="G189" s="13"/>
      <c r="H189" s="13"/>
      <c r="I189" s="13"/>
      <c r="J189" s="13"/>
    </row>
    <row r="190" spans="1:10">
      <c r="A190" s="13"/>
      <c r="B190" s="13" t="s">
        <v>703</v>
      </c>
      <c r="C190" s="13"/>
      <c r="D190" s="13"/>
      <c r="E190" s="13"/>
      <c r="F190" s="13"/>
      <c r="G190" s="13"/>
      <c r="H190" s="13"/>
      <c r="I190" s="13"/>
      <c r="J190" s="13"/>
    </row>
    <row r="191" spans="1:10">
      <c r="A191" s="13"/>
      <c r="B191" s="13"/>
      <c r="C191" s="13"/>
      <c r="D191" s="13"/>
      <c r="E191" s="13"/>
      <c r="F191" s="13"/>
      <c r="G191" s="13"/>
      <c r="H191" s="13"/>
      <c r="I191" s="13"/>
      <c r="J191" s="13"/>
    </row>
    <row r="192" spans="1:10">
      <c r="A192" s="13"/>
      <c r="B192" s="13"/>
      <c r="C192" s="13"/>
      <c r="D192" s="13"/>
      <c r="E192" s="13"/>
      <c r="F192" s="13"/>
      <c r="G192" s="13"/>
      <c r="H192" s="13"/>
      <c r="I192" s="13"/>
      <c r="J192" s="13"/>
    </row>
    <row r="193" spans="1:10">
      <c r="A193" s="13"/>
      <c r="B193" s="13"/>
      <c r="C193" s="13"/>
      <c r="D193" s="13"/>
      <c r="E193" s="13"/>
      <c r="F193" s="13"/>
      <c r="G193" s="13"/>
      <c r="H193" s="13"/>
      <c r="I193" s="13"/>
      <c r="J193" s="13"/>
    </row>
    <row r="194" spans="1:10">
      <c r="A194" s="13"/>
      <c r="B194" s="13"/>
      <c r="C194" s="13"/>
      <c r="D194" s="13"/>
      <c r="E194" s="13"/>
      <c r="F194" s="13"/>
      <c r="G194" s="13"/>
      <c r="H194" s="13"/>
      <c r="I194" s="13"/>
      <c r="J194" s="13"/>
    </row>
    <row r="195" spans="1:10">
      <c r="A195" s="13"/>
      <c r="B195" s="13"/>
      <c r="C195" s="13"/>
      <c r="D195" s="13"/>
      <c r="E195" s="13"/>
      <c r="F195" s="13"/>
      <c r="G195" s="13"/>
      <c r="H195" s="13"/>
      <c r="I195" s="13"/>
      <c r="J195" s="13"/>
    </row>
    <row r="196" spans="1:10">
      <c r="A196" s="13"/>
      <c r="B196" s="13"/>
      <c r="C196" s="13"/>
      <c r="D196" s="13"/>
      <c r="E196" s="13"/>
      <c r="F196" s="13"/>
      <c r="G196" s="13"/>
      <c r="H196" s="13"/>
      <c r="I196" s="13"/>
      <c r="J196" s="13"/>
    </row>
    <row r="197" spans="1:10">
      <c r="A197" s="13"/>
      <c r="B197" s="13"/>
      <c r="C197" s="13"/>
      <c r="D197" s="13"/>
      <c r="E197" s="13"/>
      <c r="F197" s="13"/>
      <c r="G197" s="13"/>
      <c r="H197" s="13"/>
      <c r="I197" s="13"/>
      <c r="J197" s="13"/>
    </row>
    <row r="198" spans="1:10">
      <c r="A198" s="13"/>
      <c r="B198" s="13"/>
      <c r="C198" s="13"/>
      <c r="D198" s="13"/>
      <c r="E198" s="13"/>
      <c r="F198" s="13"/>
      <c r="G198" s="13"/>
      <c r="H198" s="13"/>
      <c r="I198" s="13"/>
      <c r="J198" s="13"/>
    </row>
    <row r="199" spans="1:10">
      <c r="A199" s="13"/>
      <c r="B199" s="13"/>
      <c r="C199" s="13"/>
      <c r="D199" s="13"/>
      <c r="E199" s="13"/>
      <c r="F199" s="13"/>
      <c r="G199" s="13"/>
      <c r="H199" s="13"/>
      <c r="I199" s="13"/>
      <c r="J199" s="13"/>
    </row>
    <row r="200" spans="1:10">
      <c r="A200" s="13"/>
      <c r="B200" s="13"/>
      <c r="C200" s="13"/>
      <c r="D200" s="13"/>
      <c r="E200" s="13"/>
      <c r="F200" s="13"/>
      <c r="G200" s="13"/>
      <c r="H200" s="13"/>
      <c r="I200" s="13"/>
      <c r="J200" s="13"/>
    </row>
    <row r="201" spans="1:10">
      <c r="A201" s="13"/>
      <c r="B201" s="13"/>
      <c r="C201" s="13"/>
      <c r="D201" s="13"/>
      <c r="E201" s="13"/>
      <c r="F201" s="13"/>
      <c r="G201" s="13"/>
      <c r="H201" s="13"/>
      <c r="I201" s="13"/>
      <c r="J201" s="13"/>
    </row>
    <row r="202" spans="1:10">
      <c r="A202" s="13"/>
      <c r="B202" s="13"/>
      <c r="C202" s="13"/>
      <c r="D202" s="13"/>
      <c r="E202" s="13"/>
      <c r="F202" s="13"/>
      <c r="G202" s="13"/>
      <c r="H202" s="13"/>
      <c r="I202" s="13"/>
      <c r="J202" s="13"/>
    </row>
    <row r="203" spans="1:10">
      <c r="A203" s="13"/>
      <c r="B203" s="13"/>
      <c r="C203" s="13"/>
      <c r="D203" s="13"/>
      <c r="E203" s="13"/>
      <c r="F203" s="13"/>
      <c r="G203" s="13"/>
      <c r="H203" s="13"/>
      <c r="I203" s="13"/>
      <c r="J203" s="13"/>
    </row>
    <row r="204" spans="1:10">
      <c r="A204" s="13"/>
      <c r="B204" s="13"/>
      <c r="C204" s="13"/>
      <c r="D204" s="13"/>
      <c r="E204" s="13"/>
      <c r="F204" s="13"/>
      <c r="G204" s="13"/>
      <c r="H204" s="13"/>
      <c r="I204" s="13"/>
      <c r="J204" s="13"/>
    </row>
    <row r="205" spans="1:10">
      <c r="A205" s="13"/>
      <c r="B205" s="13"/>
      <c r="C205" s="13"/>
      <c r="D205" s="13"/>
      <c r="E205" s="13"/>
      <c r="F205" s="13"/>
      <c r="G205" s="13"/>
      <c r="H205" s="13"/>
      <c r="I205" s="13"/>
      <c r="J205" s="13"/>
    </row>
    <row r="206" spans="1:10">
      <c r="A206" s="13"/>
      <c r="B206" s="13"/>
      <c r="C206" s="13"/>
      <c r="D206" s="13"/>
      <c r="E206" s="13"/>
      <c r="F206" s="13"/>
      <c r="G206" s="13"/>
      <c r="H206" s="13"/>
      <c r="I206" s="13"/>
      <c r="J206" s="13"/>
    </row>
    <row r="207" spans="1:10">
      <c r="A207" s="13"/>
      <c r="B207" s="13"/>
      <c r="C207" s="13"/>
      <c r="D207" s="13"/>
      <c r="E207" s="13"/>
      <c r="F207" s="13"/>
      <c r="G207" s="13"/>
      <c r="H207" s="13"/>
      <c r="I207" s="13"/>
      <c r="J207" s="13"/>
    </row>
    <row r="208" spans="1:10">
      <c r="A208" s="13"/>
      <c r="B208" s="13"/>
      <c r="C208" s="13"/>
      <c r="D208" s="13"/>
      <c r="E208" s="13"/>
      <c r="F208" s="13"/>
      <c r="G208" s="13"/>
      <c r="H208" s="13"/>
      <c r="I208" s="13"/>
      <c r="J208" s="13"/>
    </row>
    <row r="209" spans="1:10">
      <c r="A209" s="13"/>
      <c r="B209" s="13"/>
      <c r="C209" s="13"/>
      <c r="D209" s="13"/>
      <c r="E209" s="13"/>
      <c r="F209" s="13"/>
      <c r="G209" s="13"/>
      <c r="H209" s="13"/>
      <c r="I209" s="13"/>
      <c r="J209" s="13"/>
    </row>
    <row r="210" spans="1:10">
      <c r="A210" s="13"/>
      <c r="B210" s="13"/>
      <c r="C210" s="13"/>
      <c r="D210" s="13"/>
      <c r="E210" s="13"/>
      <c r="F210" s="13"/>
      <c r="G210" s="13"/>
      <c r="H210" s="13"/>
      <c r="I210" s="13"/>
      <c r="J210" s="13"/>
    </row>
    <row r="211" spans="1:10">
      <c r="A211" s="13"/>
      <c r="B211" s="13"/>
      <c r="C211" s="13"/>
      <c r="D211" s="13"/>
      <c r="E211" s="13"/>
      <c r="F211" s="13"/>
      <c r="G211" s="13"/>
      <c r="H211" s="13"/>
      <c r="I211" s="13"/>
      <c r="J211" s="13"/>
    </row>
    <row r="212" spans="1:10">
      <c r="A212" s="13"/>
      <c r="B212" s="13"/>
      <c r="C212" s="13"/>
      <c r="D212" s="13"/>
      <c r="E212" s="13"/>
      <c r="F212" s="13"/>
      <c r="G212" s="13"/>
      <c r="H212" s="13"/>
      <c r="I212" s="13"/>
      <c r="J212" s="13"/>
    </row>
    <row r="213" spans="1:10">
      <c r="A213" s="13"/>
      <c r="B213" s="13"/>
      <c r="C213" s="13"/>
      <c r="D213" s="13"/>
      <c r="E213" s="13"/>
      <c r="F213" s="13"/>
      <c r="G213" s="13"/>
      <c r="H213" s="13"/>
      <c r="I213" s="13"/>
      <c r="J213" s="13"/>
    </row>
    <row r="214" spans="1:10">
      <c r="A214" s="13"/>
      <c r="B214" s="13"/>
      <c r="C214" s="13"/>
      <c r="D214" s="13"/>
      <c r="E214" s="13"/>
      <c r="F214" s="13"/>
      <c r="G214" s="13"/>
      <c r="H214" s="13"/>
      <c r="I214" s="13"/>
      <c r="J214" s="13"/>
    </row>
  </sheetData>
  <mergeCells count="4">
    <mergeCell ref="A131:J131"/>
    <mergeCell ref="A3:H3"/>
    <mergeCell ref="A181:J181"/>
    <mergeCell ref="A4:H4"/>
  </mergeCells>
  <pageMargins left="0.7" right="0.7" top="0.75" bottom="0.75" header="0.3" footer="0.3"/>
  <pageSetup paperSize="9" scale="53" orientation="portrait" r:id="rId1"/>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L219"/>
  <sheetViews>
    <sheetView view="pageBreakPreview" topLeftCell="A17" zoomScale="80" zoomScaleSheetLayoutView="80" workbookViewId="0">
      <selection activeCell="C27" sqref="C27"/>
    </sheetView>
  </sheetViews>
  <sheetFormatPr defaultRowHeight="14.5"/>
  <cols>
    <col min="1" max="1" width="30.453125" bestFit="1" customWidth="1"/>
    <col min="2" max="3" width="10.453125" bestFit="1" customWidth="1"/>
    <col min="4" max="4" width="12.26953125" bestFit="1" customWidth="1"/>
    <col min="5" max="8" width="10.453125" bestFit="1" customWidth="1"/>
    <col min="9" max="10" width="10.6328125" bestFit="1" customWidth="1"/>
  </cols>
  <sheetData>
    <row r="2" spans="1:10" ht="17.5">
      <c r="A2" s="548" t="s">
        <v>582</v>
      </c>
      <c r="B2" s="548"/>
      <c r="C2" s="548"/>
      <c r="D2" s="548"/>
      <c r="E2" s="548"/>
      <c r="F2" s="548"/>
      <c r="G2" s="548"/>
      <c r="H2" s="548"/>
    </row>
    <row r="3" spans="1:10" ht="17.5">
      <c r="A3" s="548" t="s">
        <v>583</v>
      </c>
      <c r="B3" s="548"/>
      <c r="C3" s="548"/>
      <c r="D3" s="548"/>
      <c r="E3" s="548"/>
      <c r="F3" s="548"/>
      <c r="G3" s="548"/>
      <c r="H3" s="548"/>
    </row>
    <row r="4" spans="1:10">
      <c r="A4" s="183" t="s">
        <v>161</v>
      </c>
      <c r="B4" s="249">
        <v>2000</v>
      </c>
      <c r="C4" s="181" t="s">
        <v>295</v>
      </c>
      <c r="D4" s="181"/>
      <c r="E4" s="181"/>
      <c r="F4" s="181"/>
      <c r="G4" s="182"/>
      <c r="H4" s="90"/>
    </row>
    <row r="5" spans="1:10">
      <c r="A5" s="183"/>
      <c r="B5" s="184"/>
      <c r="C5" s="182"/>
      <c r="D5" s="182"/>
      <c r="E5" s="182"/>
      <c r="F5" s="182"/>
      <c r="G5" s="182"/>
      <c r="H5" s="90"/>
    </row>
    <row r="6" spans="1:10">
      <c r="A6" s="183" t="s">
        <v>297</v>
      </c>
      <c r="B6" s="185">
        <v>12</v>
      </c>
      <c r="C6" s="182"/>
      <c r="D6" s="185"/>
      <c r="E6" s="185"/>
      <c r="F6" s="182"/>
      <c r="G6" s="182"/>
      <c r="H6" s="90"/>
    </row>
    <row r="7" spans="1:10">
      <c r="A7" s="183"/>
      <c r="B7" s="90"/>
      <c r="C7" s="185"/>
      <c r="D7" s="185"/>
      <c r="E7" s="185"/>
      <c r="F7" s="182"/>
      <c r="G7" s="182"/>
      <c r="H7" s="90"/>
    </row>
    <row r="8" spans="1:10">
      <c r="A8" s="144" t="s">
        <v>128</v>
      </c>
      <c r="B8" s="116" t="s">
        <v>2</v>
      </c>
      <c r="C8" s="116" t="s">
        <v>3</v>
      </c>
      <c r="D8" s="116" t="s">
        <v>4</v>
      </c>
      <c r="E8" s="116" t="s">
        <v>5</v>
      </c>
      <c r="F8" s="116" t="s">
        <v>6</v>
      </c>
      <c r="G8" s="116" t="s">
        <v>169</v>
      </c>
      <c r="H8" s="116" t="s">
        <v>168</v>
      </c>
    </row>
    <row r="9" spans="1:10">
      <c r="A9" s="91" t="s">
        <v>298</v>
      </c>
      <c r="B9" s="265">
        <v>0.8</v>
      </c>
      <c r="C9" s="265">
        <f t="shared" ref="C9:F9" si="0">B9+5%</f>
        <v>0.85000000000000009</v>
      </c>
      <c r="D9" s="265">
        <f t="shared" si="0"/>
        <v>0.90000000000000013</v>
      </c>
      <c r="E9" s="265">
        <f t="shared" si="0"/>
        <v>0.95000000000000018</v>
      </c>
      <c r="F9" s="265">
        <f t="shared" si="0"/>
        <v>1.0000000000000002</v>
      </c>
      <c r="G9" s="265">
        <f>F9</f>
        <v>1.0000000000000002</v>
      </c>
      <c r="H9" s="265">
        <f>G9</f>
        <v>1.0000000000000002</v>
      </c>
    </row>
    <row r="10" spans="1:10">
      <c r="A10" s="93" t="s">
        <v>315</v>
      </c>
      <c r="B10" s="187">
        <f t="shared" ref="B10:H10" si="1">$B$4*B9*$B$6</f>
        <v>19200</v>
      </c>
      <c r="C10" s="187">
        <f t="shared" si="1"/>
        <v>20400.000000000004</v>
      </c>
      <c r="D10" s="187">
        <f t="shared" si="1"/>
        <v>21600.000000000004</v>
      </c>
      <c r="E10" s="187">
        <f t="shared" si="1"/>
        <v>22800.000000000007</v>
      </c>
      <c r="F10" s="187">
        <f t="shared" si="1"/>
        <v>24000.000000000007</v>
      </c>
      <c r="G10" s="187">
        <f t="shared" si="1"/>
        <v>24000.000000000007</v>
      </c>
      <c r="H10" s="187">
        <f t="shared" si="1"/>
        <v>24000.000000000007</v>
      </c>
    </row>
    <row r="15" spans="1:10" ht="17.5">
      <c r="A15" s="473" t="s">
        <v>584</v>
      </c>
      <c r="B15" s="473"/>
      <c r="C15" s="473"/>
      <c r="D15" s="473"/>
      <c r="E15" s="473"/>
      <c r="F15" s="473"/>
      <c r="G15" s="473"/>
      <c r="H15" s="473"/>
      <c r="I15" s="473"/>
      <c r="J15" s="473"/>
    </row>
    <row r="16" spans="1:10">
      <c r="A16" s="14"/>
      <c r="B16" s="62"/>
      <c r="C16" s="30"/>
      <c r="D16" s="14"/>
      <c r="E16" s="14"/>
      <c r="F16" s="14"/>
      <c r="G16" s="14"/>
      <c r="H16" s="14"/>
    </row>
    <row r="17" spans="1:12">
      <c r="A17" s="90"/>
      <c r="B17" s="90"/>
      <c r="C17" s="90"/>
      <c r="D17" s="175">
        <v>1</v>
      </c>
      <c r="E17" s="180">
        <f>(D17*5%)+D17</f>
        <v>1.05</v>
      </c>
      <c r="F17" s="180">
        <f t="shared" ref="F17:J17" si="2">(E17*5%)+E17</f>
        <v>1.1025</v>
      </c>
      <c r="G17" s="180">
        <f t="shared" si="2"/>
        <v>1.1576250000000001</v>
      </c>
      <c r="H17" s="180">
        <f t="shared" si="2"/>
        <v>1.2155062500000002</v>
      </c>
      <c r="I17" s="180">
        <f t="shared" si="2"/>
        <v>1.2762815625000004</v>
      </c>
      <c r="J17" s="180">
        <f t="shared" si="2"/>
        <v>1.3400956406250004</v>
      </c>
    </row>
    <row r="18" spans="1:12">
      <c r="A18" s="144" t="s">
        <v>0</v>
      </c>
      <c r="B18" s="144" t="s">
        <v>133</v>
      </c>
      <c r="C18" s="144" t="s">
        <v>153</v>
      </c>
      <c r="D18" s="116" t="s">
        <v>2</v>
      </c>
      <c r="E18" s="116" t="s">
        <v>3</v>
      </c>
      <c r="F18" s="116" t="s">
        <v>4</v>
      </c>
      <c r="G18" s="116" t="s">
        <v>5</v>
      </c>
      <c r="H18" s="116" t="s">
        <v>6</v>
      </c>
      <c r="I18" s="116" t="s">
        <v>169</v>
      </c>
      <c r="J18" s="116" t="s">
        <v>168</v>
      </c>
    </row>
    <row r="19" spans="1:12">
      <c r="A19" s="91"/>
      <c r="B19" s="91"/>
      <c r="C19" s="91"/>
      <c r="D19" s="91"/>
      <c r="E19" s="91"/>
      <c r="F19" s="91"/>
      <c r="G19" s="91"/>
      <c r="H19" s="91"/>
      <c r="I19" s="91"/>
      <c r="J19" s="91"/>
    </row>
    <row r="20" spans="1:12">
      <c r="A20" s="93" t="s">
        <v>177</v>
      </c>
      <c r="B20" s="93"/>
      <c r="C20" s="93"/>
      <c r="D20" s="91"/>
      <c r="E20" s="91"/>
      <c r="F20" s="91"/>
      <c r="G20" s="91"/>
      <c r="H20" s="91"/>
      <c r="I20" s="91"/>
      <c r="J20" s="91"/>
    </row>
    <row r="21" spans="1:12">
      <c r="A21" s="91" t="s">
        <v>317</v>
      </c>
      <c r="B21" s="91"/>
      <c r="C21" s="244">
        <v>120</v>
      </c>
      <c r="D21" s="92">
        <f t="shared" ref="D21:J21" si="3">B10*$C$21*D17</f>
        <v>2304000</v>
      </c>
      <c r="E21" s="92">
        <f t="shared" si="3"/>
        <v>2570400.0000000005</v>
      </c>
      <c r="F21" s="92">
        <f t="shared" si="3"/>
        <v>2857680.0000000005</v>
      </c>
      <c r="G21" s="92">
        <f t="shared" si="3"/>
        <v>3167262.0000000014</v>
      </c>
      <c r="H21" s="92">
        <f t="shared" si="3"/>
        <v>3500658.0000000019</v>
      </c>
      <c r="I21" s="92">
        <f t="shared" si="3"/>
        <v>3675690.9000000022</v>
      </c>
      <c r="J21" s="92">
        <f t="shared" si="3"/>
        <v>3859475.4450000026</v>
      </c>
    </row>
    <row r="22" spans="1:12">
      <c r="A22" s="91"/>
      <c r="B22" s="91"/>
      <c r="C22" s="92"/>
      <c r="D22" s="92"/>
      <c r="E22" s="92"/>
      <c r="F22" s="92"/>
      <c r="G22" s="92"/>
      <c r="H22" s="92"/>
      <c r="I22" s="92"/>
      <c r="J22" s="92"/>
    </row>
    <row r="23" spans="1:12">
      <c r="A23" s="93" t="s">
        <v>144</v>
      </c>
      <c r="B23" s="93"/>
      <c r="C23" s="111"/>
      <c r="D23" s="92">
        <f>SUM(D21:D22)</f>
        <v>2304000</v>
      </c>
      <c r="E23" s="92">
        <f t="shared" ref="E23:J23" si="4">SUM(E21:E22)</f>
        <v>2570400.0000000005</v>
      </c>
      <c r="F23" s="92">
        <f t="shared" si="4"/>
        <v>2857680.0000000005</v>
      </c>
      <c r="G23" s="92">
        <f t="shared" si="4"/>
        <v>3167262.0000000014</v>
      </c>
      <c r="H23" s="92">
        <f t="shared" si="4"/>
        <v>3500658.0000000019</v>
      </c>
      <c r="I23" s="92">
        <f t="shared" si="4"/>
        <v>3675690.9000000022</v>
      </c>
      <c r="J23" s="92">
        <f t="shared" si="4"/>
        <v>3859475.4450000026</v>
      </c>
    </row>
    <row r="24" spans="1:12">
      <c r="A24" s="91"/>
      <c r="B24" s="91"/>
      <c r="C24" s="92"/>
      <c r="D24" s="92"/>
      <c r="E24" s="92"/>
      <c r="F24" s="92"/>
      <c r="G24" s="92"/>
      <c r="H24" s="92"/>
      <c r="I24" s="92"/>
      <c r="J24" s="92"/>
    </row>
    <row r="25" spans="1:12">
      <c r="A25" s="93" t="s">
        <v>143</v>
      </c>
      <c r="B25" s="93"/>
      <c r="C25" s="92"/>
      <c r="D25" s="92"/>
      <c r="E25" s="92"/>
      <c r="F25" s="92"/>
      <c r="G25" s="92"/>
      <c r="H25" s="92"/>
      <c r="I25" s="92"/>
      <c r="J25" s="92"/>
    </row>
    <row r="26" spans="1:12">
      <c r="A26" s="93" t="s">
        <v>307</v>
      </c>
      <c r="B26" s="93"/>
      <c r="C26" s="92"/>
      <c r="D26" s="92"/>
      <c r="E26" s="92"/>
      <c r="F26" s="92"/>
      <c r="G26" s="92"/>
      <c r="H26" s="92"/>
      <c r="I26" s="92"/>
      <c r="J26" s="92"/>
    </row>
    <row r="27" spans="1:12">
      <c r="A27" s="91" t="s">
        <v>299</v>
      </c>
      <c r="B27" s="224" t="s">
        <v>295</v>
      </c>
      <c r="C27" s="244">
        <v>14</v>
      </c>
      <c r="D27" s="92">
        <f>$B$4*$C$27*D17*2</f>
        <v>56000</v>
      </c>
      <c r="E27" s="92">
        <f t="shared" ref="E27:J27" si="5">$B$4*$C$27*E17*2</f>
        <v>58800</v>
      </c>
      <c r="F27" s="92">
        <f t="shared" si="5"/>
        <v>61740</v>
      </c>
      <c r="G27" s="92">
        <f t="shared" si="5"/>
        <v>64827.000000000007</v>
      </c>
      <c r="H27" s="92">
        <f t="shared" si="5"/>
        <v>68068.350000000006</v>
      </c>
      <c r="I27" s="92">
        <f t="shared" si="5"/>
        <v>71471.767500000016</v>
      </c>
      <c r="J27" s="92">
        <f t="shared" si="5"/>
        <v>75045.355875000023</v>
      </c>
      <c r="L27" s="66">
        <f>D27/2</f>
        <v>28000</v>
      </c>
    </row>
    <row r="28" spans="1:12">
      <c r="A28" s="91" t="s">
        <v>300</v>
      </c>
      <c r="B28" s="224" t="s">
        <v>295</v>
      </c>
      <c r="C28" s="244">
        <v>14</v>
      </c>
      <c r="D28" s="92">
        <f t="shared" ref="D28:J28" si="6">$B$4*$C$28*D17*12</f>
        <v>336000</v>
      </c>
      <c r="E28" s="92">
        <f t="shared" si="6"/>
        <v>352800</v>
      </c>
      <c r="F28" s="92">
        <f t="shared" si="6"/>
        <v>370440</v>
      </c>
      <c r="G28" s="92">
        <f t="shared" si="6"/>
        <v>388962.00000000006</v>
      </c>
      <c r="H28" s="92">
        <f t="shared" si="6"/>
        <v>408410.10000000003</v>
      </c>
      <c r="I28" s="92">
        <f t="shared" si="6"/>
        <v>428830.6050000001</v>
      </c>
      <c r="J28" s="92">
        <f t="shared" si="6"/>
        <v>450272.13525000017</v>
      </c>
      <c r="L28" s="66">
        <f>D28/12</f>
        <v>28000</v>
      </c>
    </row>
    <row r="29" spans="1:12">
      <c r="A29" s="91" t="s">
        <v>301</v>
      </c>
      <c r="B29" s="224">
        <v>12</v>
      </c>
      <c r="C29" s="244">
        <v>10000</v>
      </c>
      <c r="D29" s="92">
        <f>$C$29*12*D17</f>
        <v>120000</v>
      </c>
      <c r="E29" s="92">
        <f t="shared" ref="E29:J29" si="7">$C$29*12*E17</f>
        <v>126000</v>
      </c>
      <c r="F29" s="92">
        <f t="shared" si="7"/>
        <v>132300</v>
      </c>
      <c r="G29" s="92">
        <f t="shared" si="7"/>
        <v>138915.00000000003</v>
      </c>
      <c r="H29" s="92">
        <f t="shared" si="7"/>
        <v>145860.75000000003</v>
      </c>
      <c r="I29" s="92">
        <f t="shared" si="7"/>
        <v>153153.78750000003</v>
      </c>
      <c r="J29" s="92">
        <f t="shared" si="7"/>
        <v>160811.47687500005</v>
      </c>
    </row>
    <row r="30" spans="1:12">
      <c r="A30" s="91" t="s">
        <v>766</v>
      </c>
      <c r="B30" s="224"/>
      <c r="C30" s="449">
        <v>1.5E-3</v>
      </c>
      <c r="D30" s="92">
        <f>(B10*4000)*$C$30*D17</f>
        <v>115200</v>
      </c>
      <c r="E30" s="92">
        <f t="shared" ref="E30:J30" si="8">(C10*4000)*$C$30*E17</f>
        <v>128520.00000000003</v>
      </c>
      <c r="F30" s="92">
        <f t="shared" si="8"/>
        <v>142884.00000000003</v>
      </c>
      <c r="G30" s="92">
        <f t="shared" si="8"/>
        <v>158363.10000000009</v>
      </c>
      <c r="H30" s="92">
        <f t="shared" si="8"/>
        <v>175032.90000000011</v>
      </c>
      <c r="I30" s="92">
        <f t="shared" si="8"/>
        <v>183784.54500000013</v>
      </c>
      <c r="J30" s="92">
        <f t="shared" si="8"/>
        <v>192973.77225000013</v>
      </c>
    </row>
    <row r="31" spans="1:12">
      <c r="A31" s="91"/>
      <c r="B31" s="224"/>
      <c r="C31" s="244"/>
      <c r="D31" s="92"/>
      <c r="E31" s="92"/>
      <c r="F31" s="92"/>
      <c r="G31" s="92"/>
      <c r="H31" s="92"/>
      <c r="I31" s="92"/>
      <c r="J31" s="92"/>
    </row>
    <row r="32" spans="1:12">
      <c r="A32" s="91"/>
      <c r="B32" s="224"/>
      <c r="C32" s="244"/>
      <c r="D32" s="92"/>
      <c r="E32" s="92"/>
      <c r="F32" s="92"/>
      <c r="G32" s="92"/>
      <c r="H32" s="92"/>
      <c r="I32" s="92"/>
      <c r="J32" s="92"/>
    </row>
    <row r="33" spans="1:10">
      <c r="A33" s="91"/>
      <c r="B33" s="224"/>
      <c r="C33" s="244"/>
      <c r="D33" s="92"/>
      <c r="E33" s="92"/>
      <c r="F33" s="92"/>
      <c r="G33" s="92"/>
      <c r="H33" s="92"/>
      <c r="I33" s="92"/>
      <c r="J33" s="92"/>
    </row>
    <row r="34" spans="1:10">
      <c r="A34" s="93" t="s">
        <v>314</v>
      </c>
      <c r="B34" s="227"/>
      <c r="C34" s="248"/>
      <c r="D34" s="111">
        <f>SUM(D27:D33)</f>
        <v>627200</v>
      </c>
      <c r="E34" s="111">
        <f t="shared" ref="E34:J34" si="9">SUM(E27:E33)</f>
        <v>666120</v>
      </c>
      <c r="F34" s="111">
        <f t="shared" si="9"/>
        <v>707364</v>
      </c>
      <c r="G34" s="111">
        <f t="shared" si="9"/>
        <v>751067.10000000021</v>
      </c>
      <c r="H34" s="111">
        <f t="shared" si="9"/>
        <v>797372.10000000021</v>
      </c>
      <c r="I34" s="111">
        <f t="shared" si="9"/>
        <v>837240.70500000031</v>
      </c>
      <c r="J34" s="111">
        <f t="shared" si="9"/>
        <v>879102.74025000038</v>
      </c>
    </row>
    <row r="35" spans="1:10">
      <c r="A35" s="93"/>
      <c r="B35" s="227"/>
      <c r="C35" s="248"/>
      <c r="D35" s="111"/>
      <c r="E35" s="111"/>
      <c r="F35" s="111"/>
      <c r="G35" s="111"/>
      <c r="H35" s="111"/>
      <c r="I35" s="111"/>
      <c r="J35" s="111"/>
    </row>
    <row r="36" spans="1:10">
      <c r="A36" s="93" t="s">
        <v>306</v>
      </c>
      <c r="B36" s="224"/>
      <c r="C36" s="244"/>
      <c r="D36" s="92"/>
      <c r="E36" s="92"/>
      <c r="F36" s="92"/>
      <c r="G36" s="92"/>
      <c r="H36" s="92"/>
      <c r="I36" s="92"/>
      <c r="J36" s="92"/>
    </row>
    <row r="37" spans="1:10">
      <c r="A37" s="91" t="s">
        <v>316</v>
      </c>
      <c r="B37" s="224">
        <v>1</v>
      </c>
      <c r="C37" s="244">
        <v>12000</v>
      </c>
      <c r="D37" s="92">
        <f>$B$37*$C$37*D17*12</f>
        <v>144000</v>
      </c>
      <c r="E37" s="92">
        <f t="shared" ref="E37:J37" si="10">$B$37*$C$37*E17*12</f>
        <v>151200</v>
      </c>
      <c r="F37" s="92">
        <f t="shared" si="10"/>
        <v>158760</v>
      </c>
      <c r="G37" s="92">
        <f t="shared" si="10"/>
        <v>166698.00000000003</v>
      </c>
      <c r="H37" s="92">
        <f t="shared" si="10"/>
        <v>175032.90000000002</v>
      </c>
      <c r="I37" s="92">
        <f t="shared" si="10"/>
        <v>183784.54500000004</v>
      </c>
      <c r="J37" s="92">
        <f t="shared" si="10"/>
        <v>192973.77225000004</v>
      </c>
    </row>
    <row r="38" spans="1:10">
      <c r="A38" s="91"/>
      <c r="B38" s="224"/>
      <c r="C38" s="244"/>
      <c r="D38" s="92"/>
      <c r="E38" s="92"/>
      <c r="F38" s="92"/>
      <c r="G38" s="92"/>
      <c r="H38" s="92"/>
      <c r="I38" s="92"/>
      <c r="J38" s="92"/>
    </row>
    <row r="39" spans="1:10">
      <c r="A39" s="91"/>
      <c r="B39" s="224"/>
      <c r="C39" s="244"/>
      <c r="D39" s="92"/>
      <c r="E39" s="92"/>
      <c r="F39" s="92"/>
      <c r="G39" s="92"/>
      <c r="H39" s="92"/>
      <c r="I39" s="92"/>
      <c r="J39" s="92"/>
    </row>
    <row r="40" spans="1:10">
      <c r="A40" s="91"/>
      <c r="B40" s="224"/>
      <c r="C40" s="244"/>
      <c r="D40" s="92"/>
      <c r="E40" s="92"/>
      <c r="F40" s="92"/>
      <c r="G40" s="92"/>
      <c r="H40" s="92"/>
      <c r="I40" s="92"/>
      <c r="J40" s="92"/>
    </row>
    <row r="41" spans="1:10">
      <c r="A41" s="91"/>
      <c r="B41" s="224"/>
      <c r="C41" s="244"/>
      <c r="D41" s="92"/>
      <c r="E41" s="92"/>
      <c r="F41" s="92"/>
      <c r="G41" s="92"/>
      <c r="H41" s="92"/>
      <c r="I41" s="92"/>
      <c r="J41" s="92"/>
    </row>
    <row r="42" spans="1:10">
      <c r="A42" s="93" t="s">
        <v>318</v>
      </c>
      <c r="B42" s="93"/>
      <c r="C42" s="111"/>
      <c r="D42" s="111">
        <f t="shared" ref="D42:J42" si="11">SUM(D37:D41)</f>
        <v>144000</v>
      </c>
      <c r="E42" s="111">
        <f t="shared" si="11"/>
        <v>151200</v>
      </c>
      <c r="F42" s="111">
        <f t="shared" si="11"/>
        <v>158760</v>
      </c>
      <c r="G42" s="111">
        <f t="shared" si="11"/>
        <v>166698.00000000003</v>
      </c>
      <c r="H42" s="111">
        <f t="shared" si="11"/>
        <v>175032.90000000002</v>
      </c>
      <c r="I42" s="111">
        <f t="shared" si="11"/>
        <v>183784.54500000004</v>
      </c>
      <c r="J42" s="111">
        <f t="shared" si="11"/>
        <v>192973.77225000004</v>
      </c>
    </row>
    <row r="43" spans="1:10">
      <c r="A43" s="93"/>
      <c r="B43" s="93"/>
      <c r="C43" s="111"/>
      <c r="D43" s="111"/>
      <c r="E43" s="111"/>
      <c r="F43" s="111"/>
      <c r="G43" s="111"/>
      <c r="H43" s="111"/>
      <c r="I43" s="111"/>
      <c r="J43" s="111"/>
    </row>
    <row r="44" spans="1:10">
      <c r="A44" s="93" t="s">
        <v>130</v>
      </c>
      <c r="B44" s="93"/>
      <c r="C44" s="111"/>
      <c r="D44" s="111">
        <f t="shared" ref="D44:J44" si="12">D34+D42</f>
        <v>771200</v>
      </c>
      <c r="E44" s="111">
        <f t="shared" si="12"/>
        <v>817320</v>
      </c>
      <c r="F44" s="111">
        <f t="shared" si="12"/>
        <v>866124</v>
      </c>
      <c r="G44" s="111">
        <f t="shared" si="12"/>
        <v>917765.10000000021</v>
      </c>
      <c r="H44" s="111">
        <f t="shared" si="12"/>
        <v>972405.00000000023</v>
      </c>
      <c r="I44" s="111">
        <f t="shared" si="12"/>
        <v>1021025.2500000003</v>
      </c>
      <c r="J44" s="111">
        <f t="shared" si="12"/>
        <v>1072076.5125000004</v>
      </c>
    </row>
    <row r="45" spans="1:10">
      <c r="A45" s="91"/>
      <c r="B45" s="91"/>
      <c r="C45" s="92"/>
      <c r="D45" s="92"/>
      <c r="E45" s="92"/>
      <c r="F45" s="92"/>
      <c r="G45" s="92"/>
      <c r="H45" s="92"/>
      <c r="I45" s="92"/>
      <c r="J45" s="92"/>
    </row>
    <row r="46" spans="1:10">
      <c r="A46" s="93" t="s">
        <v>129</v>
      </c>
      <c r="B46" s="93"/>
      <c r="C46" s="111"/>
      <c r="D46" s="111">
        <f t="shared" ref="D46:J46" si="13">D23-D44</f>
        <v>1532800</v>
      </c>
      <c r="E46" s="111">
        <f t="shared" si="13"/>
        <v>1753080.0000000005</v>
      </c>
      <c r="F46" s="111">
        <f t="shared" si="13"/>
        <v>1991556.0000000005</v>
      </c>
      <c r="G46" s="111">
        <f t="shared" si="13"/>
        <v>2249496.9000000013</v>
      </c>
      <c r="H46" s="111">
        <f t="shared" si="13"/>
        <v>2528253.0000000019</v>
      </c>
      <c r="I46" s="111">
        <f t="shared" si="13"/>
        <v>2654665.6500000018</v>
      </c>
      <c r="J46" s="111">
        <f t="shared" si="13"/>
        <v>2787398.932500002</v>
      </c>
    </row>
    <row r="47" spans="1:10">
      <c r="A47" s="90"/>
      <c r="B47" s="90"/>
      <c r="C47" s="90"/>
      <c r="D47" s="90"/>
      <c r="E47" s="90"/>
      <c r="F47" s="90"/>
      <c r="G47" s="90"/>
      <c r="H47" s="90"/>
      <c r="I47" s="90"/>
      <c r="J47" s="90"/>
    </row>
    <row r="48" spans="1:10">
      <c r="A48" s="90"/>
    </row>
    <row r="50" spans="1:10">
      <c r="A50" s="472" t="s">
        <v>413</v>
      </c>
      <c r="B50" s="472"/>
      <c r="C50" s="472"/>
      <c r="D50" s="472"/>
      <c r="E50" s="472"/>
      <c r="F50" s="472"/>
      <c r="G50" s="472"/>
      <c r="H50" s="472"/>
      <c r="I50" s="472"/>
      <c r="J50" s="472"/>
    </row>
    <row r="52" spans="1:10">
      <c r="A52" t="s">
        <v>530</v>
      </c>
    </row>
    <row r="53" spans="1:10">
      <c r="A53">
        <v>1</v>
      </c>
      <c r="B53" t="s">
        <v>543</v>
      </c>
    </row>
    <row r="54" spans="1:10">
      <c r="A54">
        <v>2</v>
      </c>
      <c r="B54" t="s">
        <v>544</v>
      </c>
    </row>
    <row r="55" spans="1:10">
      <c r="A55">
        <v>3</v>
      </c>
      <c r="B55" s="90" t="s">
        <v>595</v>
      </c>
    </row>
    <row r="175" spans="1:10">
      <c r="A175" s="13"/>
      <c r="B175" s="13"/>
      <c r="C175" s="13"/>
      <c r="D175" s="13"/>
      <c r="E175" s="13"/>
      <c r="F175" s="13"/>
      <c r="G175" s="13"/>
      <c r="H175" s="13"/>
      <c r="I175" s="13"/>
      <c r="J175" s="13"/>
    </row>
    <row r="176" spans="1:10">
      <c r="A176" s="13"/>
      <c r="B176" s="13"/>
      <c r="C176" s="13"/>
      <c r="D176" s="13"/>
      <c r="E176" s="13"/>
      <c r="F176" s="13"/>
      <c r="G176" s="13"/>
      <c r="H176" s="13"/>
      <c r="I176" s="13"/>
      <c r="J176" s="13"/>
    </row>
    <row r="177" spans="1:10">
      <c r="A177" s="13"/>
      <c r="B177" s="13"/>
      <c r="C177" s="13"/>
      <c r="D177" s="13"/>
      <c r="E177" s="13"/>
      <c r="F177" s="13"/>
      <c r="G177" s="13"/>
      <c r="H177" s="13"/>
      <c r="I177" s="13"/>
      <c r="J177" s="13"/>
    </row>
    <row r="178" spans="1:10">
      <c r="A178" s="13"/>
      <c r="B178" s="13"/>
      <c r="C178" s="13"/>
      <c r="D178" s="13"/>
      <c r="E178" s="13"/>
      <c r="F178" s="13"/>
      <c r="G178" s="13"/>
      <c r="H178" s="13"/>
      <c r="I178" s="13"/>
      <c r="J178" s="13"/>
    </row>
    <row r="179" spans="1:10">
      <c r="A179" s="13"/>
      <c r="B179" s="13"/>
      <c r="C179" s="13"/>
      <c r="D179" s="13"/>
      <c r="E179" s="13"/>
      <c r="F179" s="13"/>
      <c r="G179" s="13"/>
      <c r="H179" s="13"/>
      <c r="I179" s="13"/>
      <c r="J179" s="13"/>
    </row>
    <row r="180" spans="1:10">
      <c r="A180" s="13"/>
      <c r="B180" s="13"/>
      <c r="C180" s="13"/>
      <c r="D180" s="13"/>
      <c r="E180" s="13"/>
      <c r="F180" s="13"/>
      <c r="G180" s="13"/>
      <c r="H180" s="13"/>
      <c r="I180" s="13"/>
      <c r="J180" s="13"/>
    </row>
    <row r="181" spans="1:10">
      <c r="A181" s="13"/>
      <c r="B181" s="13"/>
      <c r="C181" s="13"/>
      <c r="D181" s="13"/>
      <c r="E181" s="13"/>
      <c r="F181" s="13"/>
      <c r="G181" s="13"/>
      <c r="H181" s="13"/>
      <c r="I181" s="13"/>
      <c r="J181" s="13"/>
    </row>
    <row r="182" spans="1:10">
      <c r="A182" s="13"/>
      <c r="B182" s="13"/>
      <c r="C182" s="13"/>
      <c r="D182" s="13"/>
      <c r="E182" s="13"/>
      <c r="F182" s="13"/>
      <c r="G182" s="13"/>
      <c r="H182" s="13"/>
      <c r="I182" s="13"/>
      <c r="J182" s="13"/>
    </row>
    <row r="183" spans="1:10">
      <c r="A183" s="13"/>
      <c r="B183" s="13"/>
      <c r="C183" s="13"/>
      <c r="D183" s="13"/>
      <c r="E183" s="13"/>
      <c r="F183" s="13"/>
      <c r="G183" s="13"/>
      <c r="H183" s="13"/>
      <c r="I183" s="13"/>
      <c r="J183" s="13"/>
    </row>
    <row r="184" spans="1:10">
      <c r="A184" s="13"/>
      <c r="B184" s="13"/>
      <c r="C184" s="13"/>
      <c r="D184" s="13"/>
      <c r="E184" s="13"/>
      <c r="F184" s="13"/>
      <c r="G184" s="13"/>
      <c r="H184" s="13"/>
      <c r="I184" s="13"/>
      <c r="J184" s="13"/>
    </row>
    <row r="185" spans="1:10">
      <c r="A185" s="13"/>
      <c r="B185" s="13"/>
      <c r="C185" s="13"/>
      <c r="D185" s="13"/>
      <c r="E185" s="13"/>
      <c r="F185" s="13"/>
      <c r="G185" s="13"/>
      <c r="H185" s="13"/>
      <c r="I185" s="13"/>
      <c r="J185" s="13"/>
    </row>
    <row r="186" spans="1:10">
      <c r="A186" s="13"/>
      <c r="B186" s="13"/>
      <c r="C186" s="13"/>
      <c r="D186" s="13"/>
      <c r="E186" s="13"/>
      <c r="F186" s="13"/>
      <c r="G186" s="13"/>
      <c r="H186" s="13"/>
      <c r="I186" s="13"/>
      <c r="J186" s="13"/>
    </row>
    <row r="187" spans="1:10">
      <c r="A187" s="13"/>
      <c r="B187" s="13"/>
      <c r="C187" s="13"/>
      <c r="D187" s="13"/>
      <c r="E187" s="13"/>
      <c r="F187" s="13"/>
      <c r="G187" s="13"/>
      <c r="H187" s="13"/>
      <c r="I187" s="13"/>
      <c r="J187" s="13"/>
    </row>
    <row r="188" spans="1:10">
      <c r="A188" s="13"/>
      <c r="B188" s="13"/>
      <c r="C188" s="13"/>
      <c r="D188" s="13"/>
      <c r="E188" s="13"/>
      <c r="F188" s="13"/>
      <c r="G188" s="13"/>
      <c r="H188" s="13"/>
      <c r="I188" s="13"/>
      <c r="J188" s="13"/>
    </row>
    <row r="189" spans="1:10">
      <c r="A189" s="13"/>
      <c r="B189" s="13"/>
      <c r="C189" s="13"/>
      <c r="D189" s="13"/>
      <c r="E189" s="13"/>
      <c r="F189" s="13"/>
      <c r="G189" s="13"/>
      <c r="H189" s="13"/>
      <c r="I189" s="13"/>
      <c r="J189" s="13"/>
    </row>
    <row r="190" spans="1:10">
      <c r="A190" s="13"/>
      <c r="B190" s="13"/>
      <c r="C190" s="13"/>
      <c r="D190" s="13"/>
      <c r="E190" s="13"/>
      <c r="F190" s="13"/>
      <c r="G190" s="13"/>
      <c r="H190" s="13"/>
      <c r="I190" s="13"/>
      <c r="J190" s="13"/>
    </row>
    <row r="191" spans="1:10">
      <c r="A191" s="13"/>
      <c r="B191" s="13"/>
      <c r="C191" s="13"/>
      <c r="D191" s="13"/>
      <c r="E191" s="13"/>
      <c r="F191" s="13"/>
      <c r="G191" s="13"/>
      <c r="H191" s="13"/>
      <c r="I191" s="13"/>
      <c r="J191" s="13"/>
    </row>
    <row r="192" spans="1:10">
      <c r="A192" s="13"/>
      <c r="B192" s="13"/>
      <c r="C192" s="13"/>
      <c r="D192" s="13"/>
      <c r="E192" s="13"/>
      <c r="F192" s="13"/>
      <c r="G192" s="13"/>
      <c r="H192" s="13"/>
      <c r="I192" s="13"/>
      <c r="J192" s="13"/>
    </row>
    <row r="193" spans="1:10">
      <c r="A193" s="13"/>
      <c r="B193" s="13"/>
      <c r="C193" s="13"/>
      <c r="D193" s="13"/>
      <c r="E193" s="13"/>
      <c r="F193" s="13"/>
      <c r="G193" s="13"/>
      <c r="H193" s="13"/>
      <c r="I193" s="13"/>
      <c r="J193" s="13"/>
    </row>
    <row r="194" spans="1:10">
      <c r="A194" s="13"/>
      <c r="B194" s="13"/>
      <c r="C194" s="13"/>
      <c r="D194" s="13"/>
      <c r="E194" s="13"/>
      <c r="F194" s="13"/>
      <c r="G194" s="13"/>
      <c r="H194" s="13"/>
      <c r="I194" s="13"/>
      <c r="J194" s="13"/>
    </row>
    <row r="195" spans="1:10">
      <c r="A195" s="13"/>
      <c r="B195" s="13"/>
      <c r="C195" s="13"/>
      <c r="D195" s="13"/>
      <c r="E195" s="13"/>
      <c r="F195" s="13"/>
      <c r="G195" s="13"/>
      <c r="H195" s="13"/>
      <c r="I195" s="13"/>
      <c r="J195" s="13"/>
    </row>
    <row r="196" spans="1:10">
      <c r="A196" s="13"/>
      <c r="B196" s="13"/>
      <c r="C196" s="13"/>
      <c r="D196" s="13"/>
      <c r="E196" s="13"/>
      <c r="F196" s="13"/>
      <c r="G196" s="13"/>
      <c r="H196" s="13"/>
      <c r="I196" s="13"/>
      <c r="J196" s="13"/>
    </row>
    <row r="197" spans="1:10">
      <c r="A197" s="13"/>
      <c r="B197" s="13"/>
      <c r="C197" s="13"/>
      <c r="D197" s="13"/>
      <c r="E197" s="13"/>
      <c r="F197" s="13"/>
      <c r="G197" s="13"/>
      <c r="H197" s="13"/>
      <c r="I197" s="13"/>
      <c r="J197" s="13"/>
    </row>
    <row r="198" spans="1:10">
      <c r="A198" s="13"/>
      <c r="B198" s="13"/>
      <c r="C198" s="13"/>
      <c r="D198" s="13"/>
      <c r="E198" s="13"/>
      <c r="F198" s="13"/>
      <c r="G198" s="13"/>
      <c r="H198" s="13"/>
      <c r="I198" s="13"/>
      <c r="J198" s="13"/>
    </row>
    <row r="199" spans="1:10">
      <c r="A199" s="13"/>
      <c r="B199" s="13"/>
      <c r="C199" s="13"/>
      <c r="D199" s="13"/>
      <c r="E199" s="13"/>
      <c r="F199" s="13"/>
      <c r="G199" s="13"/>
      <c r="H199" s="13"/>
      <c r="I199" s="13"/>
      <c r="J199" s="13"/>
    </row>
    <row r="200" spans="1:10">
      <c r="A200" s="13"/>
      <c r="B200" s="13"/>
      <c r="C200" s="13"/>
      <c r="D200" s="13"/>
      <c r="E200" s="13"/>
      <c r="F200" s="13"/>
      <c r="G200" s="13"/>
      <c r="H200" s="13"/>
      <c r="I200" s="13"/>
      <c r="J200" s="13"/>
    </row>
    <row r="201" spans="1:10">
      <c r="A201" s="13"/>
      <c r="B201" s="13"/>
      <c r="C201" s="13"/>
      <c r="D201" s="13"/>
      <c r="E201" s="13"/>
      <c r="F201" s="13"/>
      <c r="G201" s="13"/>
      <c r="H201" s="13"/>
      <c r="I201" s="13"/>
      <c r="J201" s="13"/>
    </row>
    <row r="202" spans="1:10">
      <c r="A202" s="13"/>
      <c r="B202" s="13"/>
      <c r="C202" s="13"/>
      <c r="D202" s="13"/>
      <c r="E202" s="13"/>
      <c r="F202" s="13"/>
      <c r="G202" s="13"/>
      <c r="H202" s="13"/>
      <c r="I202" s="13"/>
      <c r="J202" s="13"/>
    </row>
    <row r="203" spans="1:10">
      <c r="A203" s="13"/>
      <c r="B203" s="13"/>
      <c r="C203" s="13"/>
      <c r="D203" s="13"/>
      <c r="E203" s="13"/>
      <c r="F203" s="13"/>
      <c r="G203" s="13"/>
      <c r="H203" s="13"/>
      <c r="I203" s="13"/>
      <c r="J203" s="13"/>
    </row>
    <row r="204" spans="1:10">
      <c r="A204" s="13"/>
      <c r="B204" s="13"/>
      <c r="C204" s="13"/>
      <c r="D204" s="13"/>
      <c r="E204" s="13"/>
      <c r="F204" s="13"/>
      <c r="G204" s="13"/>
      <c r="H204" s="13"/>
      <c r="I204" s="13"/>
      <c r="J204" s="13"/>
    </row>
    <row r="205" spans="1:10">
      <c r="A205" s="13"/>
      <c r="B205" s="13"/>
      <c r="C205" s="13"/>
      <c r="D205" s="13"/>
      <c r="E205" s="13"/>
      <c r="F205" s="13"/>
      <c r="G205" s="13"/>
      <c r="H205" s="13"/>
      <c r="I205" s="13"/>
      <c r="J205" s="13"/>
    </row>
    <row r="206" spans="1:10">
      <c r="A206" s="13"/>
      <c r="B206" s="13"/>
      <c r="C206" s="13"/>
      <c r="D206" s="13"/>
      <c r="E206" s="13"/>
      <c r="F206" s="13"/>
      <c r="G206" s="13"/>
      <c r="H206" s="13"/>
      <c r="I206" s="13"/>
      <c r="J206" s="13"/>
    </row>
    <row r="207" spans="1:10">
      <c r="A207" s="13"/>
      <c r="B207" s="13"/>
      <c r="C207" s="13"/>
      <c r="D207" s="13"/>
      <c r="E207" s="13"/>
      <c r="F207" s="13"/>
      <c r="G207" s="13"/>
      <c r="H207" s="13"/>
      <c r="I207" s="13"/>
      <c r="J207" s="13"/>
    </row>
    <row r="208" spans="1:10">
      <c r="A208" s="13"/>
      <c r="B208" s="13"/>
      <c r="C208" s="13"/>
      <c r="D208" s="13"/>
      <c r="E208" s="13"/>
      <c r="F208" s="13"/>
      <c r="G208" s="13"/>
      <c r="H208" s="13"/>
      <c r="I208" s="13"/>
      <c r="J208" s="13"/>
    </row>
    <row r="209" spans="1:10">
      <c r="A209" s="13"/>
      <c r="B209" s="13"/>
      <c r="C209" s="13"/>
      <c r="D209" s="13"/>
      <c r="E209" s="13"/>
      <c r="F209" s="13"/>
      <c r="G209" s="13"/>
      <c r="H209" s="13"/>
      <c r="I209" s="13"/>
      <c r="J209" s="13"/>
    </row>
    <row r="210" spans="1:10">
      <c r="A210" s="13"/>
      <c r="B210" s="13"/>
      <c r="C210" s="13"/>
      <c r="D210" s="13"/>
      <c r="E210" s="13"/>
      <c r="F210" s="13"/>
      <c r="G210" s="13"/>
      <c r="H210" s="13"/>
      <c r="I210" s="13"/>
      <c r="J210" s="13"/>
    </row>
    <row r="211" spans="1:10">
      <c r="A211" s="13"/>
      <c r="B211" s="13"/>
      <c r="C211" s="13"/>
      <c r="D211" s="13"/>
      <c r="E211" s="13"/>
      <c r="F211" s="13"/>
      <c r="G211" s="13"/>
      <c r="H211" s="13"/>
      <c r="I211" s="13"/>
      <c r="J211" s="13"/>
    </row>
    <row r="212" spans="1:10">
      <c r="A212" s="13"/>
      <c r="B212" s="13"/>
      <c r="C212" s="13"/>
      <c r="D212" s="13"/>
      <c r="E212" s="13"/>
      <c r="F212" s="13"/>
      <c r="G212" s="13"/>
      <c r="H212" s="13"/>
      <c r="I212" s="13"/>
      <c r="J212" s="13"/>
    </row>
    <row r="213" spans="1:10">
      <c r="A213" s="13"/>
      <c r="B213" s="13"/>
      <c r="C213" s="13"/>
      <c r="D213" s="13"/>
      <c r="E213" s="13"/>
      <c r="F213" s="13"/>
      <c r="G213" s="13"/>
      <c r="H213" s="13"/>
      <c r="I213" s="13"/>
      <c r="J213" s="13"/>
    </row>
    <row r="214" spans="1:10">
      <c r="A214" s="13"/>
      <c r="B214" s="13"/>
      <c r="C214" s="13"/>
      <c r="D214" s="13"/>
      <c r="E214" s="13"/>
      <c r="F214" s="13"/>
      <c r="G214" s="13"/>
      <c r="H214" s="13"/>
      <c r="I214" s="13"/>
      <c r="J214" s="13"/>
    </row>
    <row r="215" spans="1:10">
      <c r="A215" s="13"/>
      <c r="B215" s="13"/>
      <c r="C215" s="13"/>
      <c r="D215" s="13"/>
      <c r="E215" s="13"/>
      <c r="F215" s="13"/>
      <c r="G215" s="13"/>
      <c r="H215" s="13"/>
      <c r="I215" s="13"/>
      <c r="J215" s="13"/>
    </row>
    <row r="216" spans="1:10">
      <c r="A216" s="13"/>
      <c r="B216" s="13"/>
      <c r="C216" s="13"/>
      <c r="D216" s="13"/>
      <c r="E216" s="13"/>
      <c r="F216" s="13"/>
      <c r="G216" s="13"/>
      <c r="H216" s="13"/>
      <c r="I216" s="13"/>
      <c r="J216" s="13"/>
    </row>
    <row r="217" spans="1:10">
      <c r="A217" s="13"/>
      <c r="B217" s="13"/>
      <c r="C217" s="13"/>
      <c r="D217" s="13"/>
      <c r="E217" s="13"/>
      <c r="F217" s="13"/>
      <c r="G217" s="13"/>
      <c r="H217" s="13"/>
      <c r="I217" s="13"/>
      <c r="J217" s="13"/>
    </row>
    <row r="218" spans="1:10">
      <c r="A218" s="13"/>
      <c r="B218" s="13"/>
      <c r="C218" s="13"/>
      <c r="D218" s="13"/>
      <c r="E218" s="13"/>
      <c r="F218" s="13"/>
      <c r="G218" s="13"/>
      <c r="H218" s="13"/>
      <c r="I218" s="13"/>
      <c r="J218" s="13"/>
    </row>
    <row r="219" spans="1:10">
      <c r="A219" s="13"/>
      <c r="B219" s="13"/>
      <c r="C219" s="13"/>
      <c r="D219" s="13"/>
      <c r="E219" s="13"/>
      <c r="F219" s="13"/>
      <c r="G219" s="13"/>
      <c r="H219" s="13"/>
      <c r="I219" s="13"/>
      <c r="J219" s="13"/>
    </row>
  </sheetData>
  <mergeCells count="4">
    <mergeCell ref="A15:J15"/>
    <mergeCell ref="A2:H2"/>
    <mergeCell ref="A50:J50"/>
    <mergeCell ref="A3:H3"/>
  </mergeCells>
  <pageMargins left="0.7" right="0.7" top="0.75" bottom="0.75" header="0.3" footer="0.3"/>
  <pageSetup paperSize="9" scale="4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4"/>
  <sheetViews>
    <sheetView view="pageBreakPreview" zoomScale="80" zoomScaleSheetLayoutView="80" workbookViewId="0">
      <selection activeCell="D11" sqref="D11"/>
    </sheetView>
  </sheetViews>
  <sheetFormatPr defaultRowHeight="14.5"/>
  <cols>
    <col min="1" max="2" width="29.453125" customWidth="1"/>
    <col min="3" max="3" width="12.1796875" customWidth="1"/>
    <col min="4" max="4" width="10.453125" bestFit="1" customWidth="1"/>
    <col min="5" max="5" width="13.453125" customWidth="1"/>
    <col min="6" max="6" width="14" customWidth="1"/>
    <col min="7" max="7" width="13.453125" customWidth="1"/>
    <col min="8" max="9" width="14" customWidth="1"/>
    <col min="10" max="11" width="14.453125" customWidth="1"/>
    <col min="12" max="12" width="12.1796875" customWidth="1"/>
    <col min="13" max="13" width="16" customWidth="1"/>
    <col min="14" max="14" width="23.26953125" customWidth="1"/>
    <col min="18" max="18" width="12.7265625" bestFit="1" customWidth="1"/>
  </cols>
  <sheetData>
    <row r="3" spans="1:13" ht="17.5">
      <c r="A3" s="473" t="s">
        <v>585</v>
      </c>
      <c r="B3" s="473"/>
      <c r="C3" s="473"/>
      <c r="D3" s="473"/>
      <c r="E3" s="473"/>
      <c r="F3" s="473"/>
      <c r="G3" s="473"/>
      <c r="H3" s="473"/>
      <c r="I3" s="473"/>
      <c r="J3" s="473"/>
      <c r="K3" s="473"/>
      <c r="L3" s="473"/>
    </row>
    <row r="4" spans="1:13" ht="17.5">
      <c r="A4" s="473" t="s">
        <v>586</v>
      </c>
      <c r="B4" s="473"/>
      <c r="C4" s="473"/>
      <c r="D4" s="473"/>
      <c r="E4" s="473"/>
      <c r="F4" s="473"/>
      <c r="G4" s="473"/>
      <c r="H4" s="473"/>
      <c r="I4" s="473"/>
      <c r="J4" s="473"/>
      <c r="K4" s="473"/>
      <c r="L4" s="473"/>
    </row>
    <row r="5" spans="1:13">
      <c r="A5" s="90"/>
      <c r="B5" s="90"/>
      <c r="C5" s="90"/>
    </row>
    <row r="6" spans="1:13">
      <c r="A6" s="90"/>
      <c r="B6" s="90"/>
      <c r="C6" s="90"/>
    </row>
    <row r="7" spans="1:13" ht="43.5">
      <c r="A7" s="276" t="s">
        <v>146</v>
      </c>
      <c r="B7" s="277" t="s">
        <v>421</v>
      </c>
      <c r="C7" s="277" t="s">
        <v>427</v>
      </c>
      <c r="D7" s="277" t="s">
        <v>425</v>
      </c>
      <c r="E7" s="277" t="s">
        <v>426</v>
      </c>
      <c r="F7" s="277" t="s">
        <v>302</v>
      </c>
      <c r="G7" s="277" t="s">
        <v>428</v>
      </c>
      <c r="H7" s="277" t="s">
        <v>429</v>
      </c>
      <c r="I7" s="277" t="s">
        <v>430</v>
      </c>
      <c r="J7" s="279" t="s">
        <v>433</v>
      </c>
      <c r="K7" s="277" t="s">
        <v>431</v>
      </c>
      <c r="L7" s="279" t="s">
        <v>432</v>
      </c>
      <c r="M7" s="277" t="s">
        <v>435</v>
      </c>
    </row>
    <row r="8" spans="1:13">
      <c r="A8" s="278">
        <v>1</v>
      </c>
      <c r="B8" s="272" t="s">
        <v>722</v>
      </c>
      <c r="C8" s="272">
        <v>1</v>
      </c>
      <c r="D8" s="272"/>
      <c r="E8" s="272">
        <v>8</v>
      </c>
      <c r="F8" s="281">
        <f>D8*E8*C8</f>
        <v>0</v>
      </c>
      <c r="G8" s="272">
        <v>4</v>
      </c>
      <c r="H8" s="281">
        <f>F8/G8</f>
        <v>0</v>
      </c>
      <c r="I8" s="272">
        <v>12</v>
      </c>
      <c r="J8" s="281">
        <f>H8*I8</f>
        <v>0</v>
      </c>
      <c r="K8" s="272">
        <v>3000</v>
      </c>
      <c r="L8" s="272">
        <v>1</v>
      </c>
      <c r="M8" s="281">
        <f t="shared" ref="M8:M16" si="0">D8*L8</f>
        <v>0</v>
      </c>
    </row>
    <row r="9" spans="1:13">
      <c r="A9" s="278">
        <v>2</v>
      </c>
      <c r="B9" s="272" t="s">
        <v>422</v>
      </c>
      <c r="C9" s="272">
        <v>1</v>
      </c>
      <c r="D9" s="272"/>
      <c r="E9" s="272">
        <v>8</v>
      </c>
      <c r="F9" s="281">
        <f t="shared" ref="F9:F16" si="1">D9*E9*C9</f>
        <v>0</v>
      </c>
      <c r="G9" s="272">
        <v>2</v>
      </c>
      <c r="H9" s="281">
        <f>F9/G9</f>
        <v>0</v>
      </c>
      <c r="I9" s="272">
        <v>8</v>
      </c>
      <c r="J9" s="281">
        <f t="shared" ref="J9:J16" si="2">H9*I9</f>
        <v>0</v>
      </c>
      <c r="K9" s="272">
        <v>1800</v>
      </c>
      <c r="L9" s="272">
        <v>1</v>
      </c>
      <c r="M9" s="281">
        <f t="shared" si="0"/>
        <v>0</v>
      </c>
    </row>
    <row r="10" spans="1:13">
      <c r="A10" s="278">
        <v>3</v>
      </c>
      <c r="B10" s="272" t="s">
        <v>423</v>
      </c>
      <c r="C10" s="272">
        <v>1</v>
      </c>
      <c r="D10" s="272"/>
      <c r="E10" s="272">
        <v>8</v>
      </c>
      <c r="F10" s="281">
        <f t="shared" si="1"/>
        <v>0</v>
      </c>
      <c r="G10" s="272">
        <v>2</v>
      </c>
      <c r="H10" s="281">
        <f>F10/G10</f>
        <v>0</v>
      </c>
      <c r="I10" s="272">
        <v>8</v>
      </c>
      <c r="J10" s="281">
        <f t="shared" si="2"/>
        <v>0</v>
      </c>
      <c r="K10" s="272">
        <v>1800</v>
      </c>
      <c r="L10" s="272">
        <v>1</v>
      </c>
      <c r="M10" s="281">
        <f t="shared" si="0"/>
        <v>0</v>
      </c>
    </row>
    <row r="11" spans="1:13">
      <c r="A11" s="278">
        <v>5</v>
      </c>
      <c r="B11" s="272" t="s">
        <v>424</v>
      </c>
      <c r="C11" s="272">
        <v>1</v>
      </c>
      <c r="D11" s="272"/>
      <c r="E11" s="272">
        <v>8</v>
      </c>
      <c r="F11" s="281">
        <f t="shared" si="1"/>
        <v>0</v>
      </c>
      <c r="G11" s="272">
        <v>2</v>
      </c>
      <c r="H11" s="281">
        <f>F11/G11</f>
        <v>0</v>
      </c>
      <c r="I11" s="272">
        <v>10</v>
      </c>
      <c r="J11" s="281">
        <f t="shared" si="2"/>
        <v>0</v>
      </c>
      <c r="K11" s="272">
        <v>1500</v>
      </c>
      <c r="L11" s="272">
        <v>1</v>
      </c>
      <c r="M11" s="281">
        <f t="shared" si="0"/>
        <v>0</v>
      </c>
    </row>
    <row r="12" spans="1:13">
      <c r="A12" s="278">
        <v>6</v>
      </c>
      <c r="B12" s="10">
        <f>'2.Capex Details'!C29</f>
        <v>0</v>
      </c>
      <c r="C12" s="272">
        <v>1</v>
      </c>
      <c r="D12" s="272"/>
      <c r="E12" s="272">
        <v>8</v>
      </c>
      <c r="F12" s="281">
        <f t="shared" si="1"/>
        <v>0</v>
      </c>
      <c r="G12" s="272">
        <v>2</v>
      </c>
      <c r="H12" s="281">
        <f t="shared" ref="H12:H16" si="3">F12/G12</f>
        <v>0</v>
      </c>
      <c r="I12" s="272">
        <v>7</v>
      </c>
      <c r="J12" s="281">
        <f t="shared" si="2"/>
        <v>0</v>
      </c>
      <c r="K12" s="272">
        <v>800</v>
      </c>
      <c r="L12" s="272">
        <v>1</v>
      </c>
      <c r="M12" s="281">
        <f t="shared" si="0"/>
        <v>0</v>
      </c>
    </row>
    <row r="13" spans="1:13">
      <c r="A13" s="278">
        <v>7</v>
      </c>
      <c r="B13" s="10" t="e">
        <f>Sheet1!#REF!</f>
        <v>#REF!</v>
      </c>
      <c r="C13" s="272">
        <v>1</v>
      </c>
      <c r="D13" s="272"/>
      <c r="E13" s="272">
        <v>8</v>
      </c>
      <c r="F13" s="281">
        <f t="shared" si="1"/>
        <v>0</v>
      </c>
      <c r="G13" s="272">
        <v>3</v>
      </c>
      <c r="H13" s="281">
        <f t="shared" si="3"/>
        <v>0</v>
      </c>
      <c r="I13" s="272">
        <v>10</v>
      </c>
      <c r="J13" s="281">
        <f t="shared" si="2"/>
        <v>0</v>
      </c>
      <c r="K13" s="272">
        <v>1000</v>
      </c>
      <c r="L13" s="272">
        <v>1</v>
      </c>
      <c r="M13" s="281">
        <f t="shared" si="0"/>
        <v>0</v>
      </c>
    </row>
    <row r="14" spans="1:13">
      <c r="A14" s="278">
        <v>8</v>
      </c>
      <c r="B14" s="10">
        <f>'2.Capex Details'!C30</f>
        <v>0</v>
      </c>
      <c r="C14" s="272">
        <v>1</v>
      </c>
      <c r="D14" s="272"/>
      <c r="E14" s="272">
        <v>8</v>
      </c>
      <c r="F14" s="281">
        <f t="shared" si="1"/>
        <v>0</v>
      </c>
      <c r="G14" s="272">
        <v>3</v>
      </c>
      <c r="H14" s="281">
        <f t="shared" si="3"/>
        <v>0</v>
      </c>
      <c r="I14" s="272">
        <v>10</v>
      </c>
      <c r="J14" s="281">
        <f t="shared" si="2"/>
        <v>0</v>
      </c>
      <c r="K14" s="272">
        <v>1200</v>
      </c>
      <c r="L14" s="272">
        <v>1</v>
      </c>
      <c r="M14" s="281">
        <f t="shared" si="0"/>
        <v>0</v>
      </c>
    </row>
    <row r="15" spans="1:13">
      <c r="A15" s="278">
        <v>9</v>
      </c>
      <c r="B15" s="10">
        <f>'2.Capex Details'!C33</f>
        <v>0</v>
      </c>
      <c r="C15" s="272">
        <v>1</v>
      </c>
      <c r="D15" s="272"/>
      <c r="E15" s="272">
        <v>8</v>
      </c>
      <c r="F15" s="281">
        <f t="shared" si="1"/>
        <v>0</v>
      </c>
      <c r="G15" s="272">
        <v>3</v>
      </c>
      <c r="H15" s="281">
        <f t="shared" si="3"/>
        <v>0</v>
      </c>
      <c r="I15" s="272">
        <v>8</v>
      </c>
      <c r="J15" s="281">
        <f t="shared" si="2"/>
        <v>0</v>
      </c>
      <c r="K15" s="272">
        <v>1000</v>
      </c>
      <c r="L15" s="272">
        <v>1</v>
      </c>
      <c r="M15" s="281">
        <f t="shared" si="0"/>
        <v>0</v>
      </c>
    </row>
    <row r="16" spans="1:13">
      <c r="A16" s="278">
        <v>10</v>
      </c>
      <c r="B16" s="10">
        <f>'2.Capex Details'!C25</f>
        <v>0</v>
      </c>
      <c r="C16" s="272">
        <v>1</v>
      </c>
      <c r="D16" s="272"/>
      <c r="E16" s="272">
        <v>8</v>
      </c>
      <c r="F16" s="281">
        <f t="shared" si="1"/>
        <v>0</v>
      </c>
      <c r="G16" s="272">
        <v>4</v>
      </c>
      <c r="H16" s="281">
        <f t="shared" si="3"/>
        <v>0</v>
      </c>
      <c r="I16" s="272">
        <v>6</v>
      </c>
      <c r="J16" s="281">
        <f t="shared" si="2"/>
        <v>0</v>
      </c>
      <c r="K16" s="272">
        <v>800</v>
      </c>
      <c r="L16" s="272">
        <v>1</v>
      </c>
      <c r="M16" s="281">
        <f t="shared" si="0"/>
        <v>0</v>
      </c>
    </row>
    <row r="17" spans="1:16">
      <c r="A17" s="15"/>
      <c r="B17" s="15"/>
      <c r="C17" s="282"/>
      <c r="D17" s="282"/>
      <c r="E17" s="282"/>
      <c r="F17" s="282"/>
      <c r="G17" s="282"/>
      <c r="H17" s="282"/>
      <c r="I17" s="282"/>
      <c r="J17" s="282"/>
      <c r="K17" s="282"/>
      <c r="L17" s="282"/>
      <c r="M17" s="280"/>
    </row>
    <row r="18" spans="1:16">
      <c r="A18" s="15"/>
      <c r="B18" s="15"/>
      <c r="C18" s="282"/>
      <c r="D18" s="282"/>
      <c r="E18" s="282"/>
      <c r="F18" s="282"/>
      <c r="G18" s="282"/>
      <c r="H18" s="282"/>
      <c r="I18" s="282"/>
      <c r="J18" s="282"/>
      <c r="K18" s="282"/>
      <c r="L18" s="282"/>
      <c r="M18" s="280"/>
    </row>
    <row r="20" spans="1:16" ht="17.5">
      <c r="A20" s="473" t="s">
        <v>587</v>
      </c>
      <c r="B20" s="473"/>
      <c r="C20" s="473"/>
      <c r="D20" s="473"/>
      <c r="E20" s="473"/>
      <c r="F20" s="473"/>
      <c r="G20" s="473"/>
      <c r="H20" s="473"/>
      <c r="I20" s="473"/>
      <c r="J20" s="473"/>
      <c r="K20" s="473"/>
    </row>
    <row r="22" spans="1:16">
      <c r="A22" s="90"/>
      <c r="B22" s="90"/>
      <c r="C22" s="90"/>
      <c r="D22" s="90"/>
      <c r="E22" s="175">
        <v>1</v>
      </c>
      <c r="F22" s="180">
        <f>(E22*5%)+E22</f>
        <v>1.05</v>
      </c>
      <c r="G22" s="180">
        <f t="shared" ref="G22:K22" si="4">(F22*5%)+F22</f>
        <v>1.1025</v>
      </c>
      <c r="H22" s="180">
        <f t="shared" si="4"/>
        <v>1.1576250000000001</v>
      </c>
      <c r="I22" s="180">
        <f t="shared" si="4"/>
        <v>1.2155062500000002</v>
      </c>
      <c r="J22" s="180">
        <f t="shared" si="4"/>
        <v>1.2762815625000004</v>
      </c>
      <c r="K22" s="180">
        <f t="shared" si="4"/>
        <v>1.3400956406250004</v>
      </c>
    </row>
    <row r="23" spans="1:16">
      <c r="A23" s="144" t="s">
        <v>0</v>
      </c>
      <c r="B23" s="144" t="s">
        <v>133</v>
      </c>
      <c r="C23" s="144" t="s">
        <v>147</v>
      </c>
      <c r="D23" s="144" t="s">
        <v>153</v>
      </c>
      <c r="E23" s="116" t="s">
        <v>2</v>
      </c>
      <c r="F23" s="116" t="s">
        <v>3</v>
      </c>
      <c r="G23" s="116" t="s">
        <v>4</v>
      </c>
      <c r="H23" s="116" t="s">
        <v>5</v>
      </c>
      <c r="I23" s="116" t="s">
        <v>6</v>
      </c>
      <c r="J23" s="116" t="s">
        <v>169</v>
      </c>
      <c r="K23" s="116" t="s">
        <v>168</v>
      </c>
    </row>
    <row r="24" spans="1:16">
      <c r="A24" s="93"/>
      <c r="B24" s="93"/>
      <c r="C24" s="93"/>
      <c r="D24" s="93"/>
      <c r="E24" s="91"/>
      <c r="F24" s="91"/>
      <c r="G24" s="91"/>
      <c r="H24" s="91"/>
      <c r="I24" s="91"/>
      <c r="J24" s="91"/>
      <c r="K24" s="91"/>
    </row>
    <row r="25" spans="1:16">
      <c r="A25" s="93" t="s">
        <v>127</v>
      </c>
      <c r="B25" s="93"/>
      <c r="C25" s="93"/>
      <c r="D25" s="93"/>
      <c r="E25" s="91"/>
      <c r="F25" s="91"/>
      <c r="G25" s="91"/>
      <c r="H25" s="91"/>
      <c r="I25" s="91"/>
      <c r="J25" s="91"/>
      <c r="K25" s="91"/>
      <c r="P25" s="90"/>
    </row>
    <row r="26" spans="1:16">
      <c r="A26" s="192" t="s">
        <v>437</v>
      </c>
      <c r="B26" s="105"/>
      <c r="C26" s="283"/>
      <c r="D26" s="283"/>
      <c r="E26" s="92"/>
      <c r="F26" s="92"/>
      <c r="G26" s="92"/>
      <c r="H26" s="92"/>
      <c r="I26" s="92"/>
      <c r="J26" s="92"/>
      <c r="K26" s="92"/>
      <c r="P26" s="90"/>
    </row>
    <row r="27" spans="1:16">
      <c r="A27" s="105" t="str">
        <f>B8</f>
        <v>Combine Harvestor</v>
      </c>
      <c r="B27" s="105" t="s">
        <v>692</v>
      </c>
      <c r="C27" s="283">
        <f t="shared" ref="C27:C36" si="5">H8</f>
        <v>0</v>
      </c>
      <c r="D27" s="283">
        <f t="shared" ref="D27:D36" si="6">K8</f>
        <v>3000</v>
      </c>
      <c r="E27" s="92">
        <f>$C$27*$D$27*E22</f>
        <v>0</v>
      </c>
      <c r="F27" s="92">
        <f t="shared" ref="F27:K27" si="7">$C$27*$D$27*F22</f>
        <v>0</v>
      </c>
      <c r="G27" s="92">
        <f t="shared" si="7"/>
        <v>0</v>
      </c>
      <c r="H27" s="92">
        <f t="shared" si="7"/>
        <v>0</v>
      </c>
      <c r="I27" s="92">
        <f t="shared" si="7"/>
        <v>0</v>
      </c>
      <c r="J27" s="92">
        <f t="shared" si="7"/>
        <v>0</v>
      </c>
      <c r="K27" s="92">
        <f t="shared" si="7"/>
        <v>0</v>
      </c>
      <c r="P27" s="90"/>
    </row>
    <row r="28" spans="1:16">
      <c r="A28" s="105" t="str">
        <f>B9</f>
        <v>Cultivator</v>
      </c>
      <c r="B28" s="105" t="s">
        <v>692</v>
      </c>
      <c r="C28" s="283">
        <f t="shared" si="5"/>
        <v>0</v>
      </c>
      <c r="D28" s="283">
        <f t="shared" si="6"/>
        <v>1800</v>
      </c>
      <c r="E28" s="92">
        <f>$C$28*$D$28*E22</f>
        <v>0</v>
      </c>
      <c r="F28" s="92">
        <f t="shared" ref="F28:K28" si="8">$C$28*$D$28*F22</f>
        <v>0</v>
      </c>
      <c r="G28" s="92">
        <f t="shared" si="8"/>
        <v>0</v>
      </c>
      <c r="H28" s="92">
        <f t="shared" si="8"/>
        <v>0</v>
      </c>
      <c r="I28" s="92">
        <f t="shared" si="8"/>
        <v>0</v>
      </c>
      <c r="J28" s="92">
        <f t="shared" si="8"/>
        <v>0</v>
      </c>
      <c r="K28" s="92">
        <f t="shared" si="8"/>
        <v>0</v>
      </c>
      <c r="P28" s="90"/>
    </row>
    <row r="29" spans="1:16">
      <c r="A29" s="105" t="str">
        <f>B10</f>
        <v>Rotavator</v>
      </c>
      <c r="B29" s="105" t="s">
        <v>692</v>
      </c>
      <c r="C29" s="283">
        <f t="shared" si="5"/>
        <v>0</v>
      </c>
      <c r="D29" s="283">
        <f t="shared" si="6"/>
        <v>1800</v>
      </c>
      <c r="E29" s="92">
        <f>$C$29*$D$29*E22</f>
        <v>0</v>
      </c>
      <c r="F29" s="92">
        <f t="shared" ref="F29:K29" si="9">$C$29*$D$29*F22</f>
        <v>0</v>
      </c>
      <c r="G29" s="92">
        <f t="shared" si="9"/>
        <v>0</v>
      </c>
      <c r="H29" s="92">
        <f t="shared" si="9"/>
        <v>0</v>
      </c>
      <c r="I29" s="92">
        <f t="shared" si="9"/>
        <v>0</v>
      </c>
      <c r="J29" s="92">
        <f t="shared" si="9"/>
        <v>0</v>
      </c>
      <c r="K29" s="92">
        <f t="shared" si="9"/>
        <v>0</v>
      </c>
      <c r="P29" s="90"/>
    </row>
    <row r="30" spans="1:16">
      <c r="A30" s="105" t="str">
        <f>B11</f>
        <v>Mobile Threshing</v>
      </c>
      <c r="B30" s="105" t="s">
        <v>692</v>
      </c>
      <c r="C30" s="283">
        <f t="shared" si="5"/>
        <v>0</v>
      </c>
      <c r="D30" s="283">
        <f t="shared" si="6"/>
        <v>1500</v>
      </c>
      <c r="E30" s="92">
        <f t="shared" ref="E30:K30" si="10">$C$30*$D$30*E22</f>
        <v>0</v>
      </c>
      <c r="F30" s="92">
        <f t="shared" si="10"/>
        <v>0</v>
      </c>
      <c r="G30" s="92">
        <f t="shared" si="10"/>
        <v>0</v>
      </c>
      <c r="H30" s="92">
        <f t="shared" si="10"/>
        <v>0</v>
      </c>
      <c r="I30" s="92">
        <f t="shared" si="10"/>
        <v>0</v>
      </c>
      <c r="J30" s="92">
        <f t="shared" si="10"/>
        <v>0</v>
      </c>
      <c r="K30" s="92">
        <f t="shared" si="10"/>
        <v>0</v>
      </c>
      <c r="P30" s="90"/>
    </row>
    <row r="31" spans="1:16">
      <c r="A31" s="105">
        <f t="shared" ref="A31:A36" si="11">B12</f>
        <v>0</v>
      </c>
      <c r="B31" s="105" t="s">
        <v>692</v>
      </c>
      <c r="C31" s="283">
        <f t="shared" si="5"/>
        <v>0</v>
      </c>
      <c r="D31" s="283">
        <f t="shared" si="6"/>
        <v>800</v>
      </c>
      <c r="E31" s="92">
        <f t="shared" ref="E31:K31" si="12">$C$31*$D$31*E22</f>
        <v>0</v>
      </c>
      <c r="F31" s="92">
        <f t="shared" si="12"/>
        <v>0</v>
      </c>
      <c r="G31" s="92">
        <f t="shared" si="12"/>
        <v>0</v>
      </c>
      <c r="H31" s="92">
        <f t="shared" si="12"/>
        <v>0</v>
      </c>
      <c r="I31" s="92">
        <f t="shared" si="12"/>
        <v>0</v>
      </c>
      <c r="J31" s="92">
        <f t="shared" si="12"/>
        <v>0</v>
      </c>
      <c r="K31" s="92">
        <f t="shared" si="12"/>
        <v>0</v>
      </c>
      <c r="P31" s="90"/>
    </row>
    <row r="32" spans="1:16">
      <c r="A32" s="105" t="e">
        <f t="shared" si="11"/>
        <v>#REF!</v>
      </c>
      <c r="B32" s="105" t="s">
        <v>692</v>
      </c>
      <c r="C32" s="283">
        <f t="shared" si="5"/>
        <v>0</v>
      </c>
      <c r="D32" s="283">
        <f t="shared" si="6"/>
        <v>1000</v>
      </c>
      <c r="E32" s="92">
        <f t="shared" ref="E32:K32" si="13">$C$32*$D$32*E22</f>
        <v>0</v>
      </c>
      <c r="F32" s="92">
        <f t="shared" si="13"/>
        <v>0</v>
      </c>
      <c r="G32" s="92">
        <f t="shared" si="13"/>
        <v>0</v>
      </c>
      <c r="H32" s="92">
        <f t="shared" si="13"/>
        <v>0</v>
      </c>
      <c r="I32" s="92">
        <f t="shared" si="13"/>
        <v>0</v>
      </c>
      <c r="J32" s="92">
        <f t="shared" si="13"/>
        <v>0</v>
      </c>
      <c r="K32" s="92">
        <f t="shared" si="13"/>
        <v>0</v>
      </c>
      <c r="P32" s="90"/>
    </row>
    <row r="33" spans="1:16">
      <c r="A33" s="105">
        <f t="shared" si="11"/>
        <v>0</v>
      </c>
      <c r="B33" s="105" t="s">
        <v>692</v>
      </c>
      <c r="C33" s="283">
        <f t="shared" si="5"/>
        <v>0</v>
      </c>
      <c r="D33" s="283">
        <f t="shared" si="6"/>
        <v>1200</v>
      </c>
      <c r="E33" s="92">
        <f t="shared" ref="E33:K33" si="14">$C$33*$D$33*E22</f>
        <v>0</v>
      </c>
      <c r="F33" s="92">
        <f t="shared" si="14"/>
        <v>0</v>
      </c>
      <c r="G33" s="92">
        <f t="shared" si="14"/>
        <v>0</v>
      </c>
      <c r="H33" s="92">
        <f t="shared" si="14"/>
        <v>0</v>
      </c>
      <c r="I33" s="92">
        <f t="shared" si="14"/>
        <v>0</v>
      </c>
      <c r="J33" s="92">
        <f t="shared" si="14"/>
        <v>0</v>
      </c>
      <c r="K33" s="92">
        <f t="shared" si="14"/>
        <v>0</v>
      </c>
      <c r="P33" s="90"/>
    </row>
    <row r="34" spans="1:16">
      <c r="A34" s="105">
        <f t="shared" si="11"/>
        <v>0</v>
      </c>
      <c r="B34" s="105" t="s">
        <v>692</v>
      </c>
      <c r="C34" s="283">
        <f t="shared" si="5"/>
        <v>0</v>
      </c>
      <c r="D34" s="283">
        <f t="shared" si="6"/>
        <v>1000</v>
      </c>
      <c r="E34" s="92">
        <f t="shared" ref="E34:K34" si="15">$C$34*$D$34*E22</f>
        <v>0</v>
      </c>
      <c r="F34" s="92">
        <f t="shared" si="15"/>
        <v>0</v>
      </c>
      <c r="G34" s="92">
        <f t="shared" si="15"/>
        <v>0</v>
      </c>
      <c r="H34" s="92">
        <f t="shared" si="15"/>
        <v>0</v>
      </c>
      <c r="I34" s="92">
        <f t="shared" si="15"/>
        <v>0</v>
      </c>
      <c r="J34" s="92">
        <f t="shared" si="15"/>
        <v>0</v>
      </c>
      <c r="K34" s="92">
        <f t="shared" si="15"/>
        <v>0</v>
      </c>
      <c r="P34" s="90"/>
    </row>
    <row r="35" spans="1:16">
      <c r="A35" s="105">
        <f t="shared" si="11"/>
        <v>0</v>
      </c>
      <c r="B35" s="105" t="s">
        <v>692</v>
      </c>
      <c r="C35" s="283">
        <f t="shared" si="5"/>
        <v>0</v>
      </c>
      <c r="D35" s="283">
        <f t="shared" si="6"/>
        <v>800</v>
      </c>
      <c r="E35" s="92">
        <f t="shared" ref="E35:K35" si="16">$C$35*$D$35*E22</f>
        <v>0</v>
      </c>
      <c r="F35" s="92">
        <f t="shared" si="16"/>
        <v>0</v>
      </c>
      <c r="G35" s="92">
        <f t="shared" si="16"/>
        <v>0</v>
      </c>
      <c r="H35" s="92">
        <f t="shared" si="16"/>
        <v>0</v>
      </c>
      <c r="I35" s="92">
        <f t="shared" si="16"/>
        <v>0</v>
      </c>
      <c r="J35" s="92">
        <f t="shared" si="16"/>
        <v>0</v>
      </c>
      <c r="K35" s="92">
        <f t="shared" si="16"/>
        <v>0</v>
      </c>
      <c r="P35" s="90"/>
    </row>
    <row r="36" spans="1:16">
      <c r="A36" s="105">
        <f t="shared" si="11"/>
        <v>0</v>
      </c>
      <c r="B36" s="93"/>
      <c r="C36" s="283">
        <f t="shared" si="5"/>
        <v>0</v>
      </c>
      <c r="D36" s="283">
        <f t="shared" si="6"/>
        <v>0</v>
      </c>
      <c r="E36" s="92">
        <f t="shared" ref="E36:K36" si="17">$C$36*$D$36*E22</f>
        <v>0</v>
      </c>
      <c r="F36" s="92">
        <f t="shared" si="17"/>
        <v>0</v>
      </c>
      <c r="G36" s="92">
        <f t="shared" si="17"/>
        <v>0</v>
      </c>
      <c r="H36" s="92">
        <f t="shared" si="17"/>
        <v>0</v>
      </c>
      <c r="I36" s="92">
        <f t="shared" si="17"/>
        <v>0</v>
      </c>
      <c r="J36" s="92">
        <f t="shared" si="17"/>
        <v>0</v>
      </c>
      <c r="K36" s="92">
        <f t="shared" si="17"/>
        <v>0</v>
      </c>
      <c r="P36" s="90"/>
    </row>
    <row r="37" spans="1:16">
      <c r="A37" s="93" t="s">
        <v>144</v>
      </c>
      <c r="B37" s="93"/>
      <c r="C37" s="97"/>
      <c r="D37" s="97"/>
      <c r="E37" s="92">
        <f t="shared" ref="E37:K37" si="18">SUM(E27:E36)</f>
        <v>0</v>
      </c>
      <c r="F37" s="92">
        <f t="shared" si="18"/>
        <v>0</v>
      </c>
      <c r="G37" s="92">
        <f t="shared" si="18"/>
        <v>0</v>
      </c>
      <c r="H37" s="92">
        <f t="shared" si="18"/>
        <v>0</v>
      </c>
      <c r="I37" s="92">
        <f t="shared" si="18"/>
        <v>0</v>
      </c>
      <c r="J37" s="92">
        <f t="shared" si="18"/>
        <v>0</v>
      </c>
      <c r="K37" s="92">
        <f t="shared" si="18"/>
        <v>0</v>
      </c>
      <c r="P37" s="90"/>
    </row>
    <row r="38" spans="1:16">
      <c r="A38" s="91"/>
      <c r="B38" s="91"/>
      <c r="C38" s="95"/>
      <c r="D38" s="95"/>
      <c r="E38" s="92"/>
      <c r="F38" s="92"/>
      <c r="G38" s="92"/>
      <c r="H38" s="92"/>
      <c r="I38" s="92"/>
      <c r="J38" s="92"/>
      <c r="K38" s="92"/>
      <c r="P38" s="90"/>
    </row>
    <row r="39" spans="1:16">
      <c r="A39" s="93" t="s">
        <v>143</v>
      </c>
      <c r="B39" s="93"/>
      <c r="C39" s="97"/>
      <c r="D39" s="97"/>
      <c r="E39" s="92"/>
      <c r="F39" s="92"/>
      <c r="G39" s="92"/>
      <c r="H39" s="92"/>
      <c r="I39" s="92"/>
      <c r="J39" s="92"/>
      <c r="K39" s="92"/>
      <c r="P39" s="90"/>
    </row>
    <row r="40" spans="1:16">
      <c r="A40" s="93" t="s">
        <v>303</v>
      </c>
      <c r="B40" s="93"/>
      <c r="C40" s="97"/>
      <c r="D40" s="97"/>
      <c r="E40" s="92"/>
      <c r="F40" s="92"/>
      <c r="G40" s="92"/>
      <c r="H40" s="92"/>
      <c r="I40" s="92"/>
      <c r="J40" s="92"/>
      <c r="K40" s="92"/>
    </row>
    <row r="41" spans="1:16">
      <c r="A41" s="91" t="s">
        <v>304</v>
      </c>
      <c r="B41" s="91" t="s">
        <v>434</v>
      </c>
      <c r="C41" s="95">
        <f>SUM(J8:J16)</f>
        <v>0</v>
      </c>
      <c r="D41" s="224">
        <v>100</v>
      </c>
      <c r="E41" s="92">
        <f t="shared" ref="E41:K41" si="19">$C$41*$D$41*E22</f>
        <v>0</v>
      </c>
      <c r="F41" s="92">
        <f t="shared" si="19"/>
        <v>0</v>
      </c>
      <c r="G41" s="92">
        <f t="shared" si="19"/>
        <v>0</v>
      </c>
      <c r="H41" s="92">
        <f t="shared" si="19"/>
        <v>0</v>
      </c>
      <c r="I41" s="92">
        <f t="shared" si="19"/>
        <v>0</v>
      </c>
      <c r="J41" s="92">
        <f t="shared" si="19"/>
        <v>0</v>
      </c>
      <c r="K41" s="92">
        <f t="shared" si="19"/>
        <v>0</v>
      </c>
    </row>
    <row r="42" spans="1:16">
      <c r="A42" s="91" t="s">
        <v>305</v>
      </c>
      <c r="B42" s="91" t="s">
        <v>436</v>
      </c>
      <c r="C42" s="95">
        <f>SUM(M8:M16)</f>
        <v>0</v>
      </c>
      <c r="D42" s="224">
        <v>300</v>
      </c>
      <c r="E42" s="92">
        <f t="shared" ref="E42:K42" si="20">$C$42*$D$42*E22</f>
        <v>0</v>
      </c>
      <c r="F42" s="92">
        <f t="shared" si="20"/>
        <v>0</v>
      </c>
      <c r="G42" s="92">
        <f t="shared" si="20"/>
        <v>0</v>
      </c>
      <c r="H42" s="92">
        <f t="shared" si="20"/>
        <v>0</v>
      </c>
      <c r="I42" s="92">
        <f t="shared" si="20"/>
        <v>0</v>
      </c>
      <c r="J42" s="92">
        <f t="shared" si="20"/>
        <v>0</v>
      </c>
      <c r="K42" s="92">
        <f t="shared" si="20"/>
        <v>0</v>
      </c>
    </row>
    <row r="43" spans="1:16">
      <c r="A43" s="91"/>
      <c r="B43" s="91"/>
      <c r="C43" s="224"/>
      <c r="D43" s="224"/>
      <c r="E43" s="92"/>
      <c r="F43" s="92"/>
      <c r="G43" s="92"/>
      <c r="H43" s="92"/>
      <c r="I43" s="92"/>
      <c r="J43" s="92"/>
      <c r="K43" s="92"/>
    </row>
    <row r="44" spans="1:16">
      <c r="A44" s="91"/>
      <c r="B44" s="91"/>
      <c r="C44" s="224"/>
      <c r="D44" s="224"/>
      <c r="E44" s="92"/>
      <c r="F44" s="92"/>
      <c r="G44" s="92"/>
      <c r="H44" s="92"/>
      <c r="I44" s="92"/>
      <c r="J44" s="92"/>
      <c r="K44" s="92"/>
    </row>
    <row r="45" spans="1:16">
      <c r="A45" s="91"/>
      <c r="B45" s="91"/>
      <c r="C45" s="224"/>
      <c r="D45" s="224"/>
      <c r="E45" s="92"/>
      <c r="F45" s="92"/>
      <c r="G45" s="92"/>
      <c r="H45" s="92"/>
      <c r="I45" s="92"/>
      <c r="J45" s="92"/>
      <c r="K45" s="92"/>
    </row>
    <row r="46" spans="1:16">
      <c r="A46" s="91"/>
      <c r="B46" s="91"/>
      <c r="C46" s="224"/>
      <c r="D46" s="224"/>
      <c r="E46" s="92"/>
      <c r="F46" s="92"/>
      <c r="G46" s="92"/>
      <c r="H46" s="92"/>
      <c r="I46" s="92"/>
      <c r="J46" s="92"/>
      <c r="K46" s="92"/>
    </row>
    <row r="47" spans="1:16">
      <c r="A47" s="93" t="s">
        <v>314</v>
      </c>
      <c r="B47" s="93"/>
      <c r="C47" s="227"/>
      <c r="D47" s="227"/>
      <c r="E47" s="111">
        <f>SUM(E41:E46)</f>
        <v>0</v>
      </c>
      <c r="F47" s="111">
        <f t="shared" ref="F47:K47" si="21">SUM(F41:F46)</f>
        <v>0</v>
      </c>
      <c r="G47" s="111">
        <f t="shared" si="21"/>
        <v>0</v>
      </c>
      <c r="H47" s="111">
        <f t="shared" si="21"/>
        <v>0</v>
      </c>
      <c r="I47" s="111">
        <f t="shared" si="21"/>
        <v>0</v>
      </c>
      <c r="J47" s="111">
        <f t="shared" si="21"/>
        <v>0</v>
      </c>
      <c r="K47" s="111">
        <f t="shared" si="21"/>
        <v>0</v>
      </c>
    </row>
    <row r="48" spans="1:16">
      <c r="A48" s="93"/>
      <c r="B48" s="93"/>
      <c r="C48" s="227"/>
      <c r="D48" s="227"/>
      <c r="E48" s="111"/>
      <c r="F48" s="111"/>
      <c r="G48" s="111"/>
      <c r="H48" s="111"/>
      <c r="I48" s="111"/>
      <c r="J48" s="111"/>
      <c r="K48" s="111"/>
    </row>
    <row r="49" spans="1:12">
      <c r="A49" s="192" t="s">
        <v>306</v>
      </c>
      <c r="B49" s="192"/>
      <c r="C49" s="246"/>
      <c r="D49" s="246"/>
      <c r="E49" s="92"/>
      <c r="F49" s="92"/>
      <c r="G49" s="92"/>
      <c r="H49" s="92"/>
      <c r="I49" s="92"/>
      <c r="J49" s="92"/>
      <c r="K49" s="92"/>
    </row>
    <row r="50" spans="1:12">
      <c r="A50" s="105" t="s">
        <v>726</v>
      </c>
      <c r="B50" s="91" t="s">
        <v>380</v>
      </c>
      <c r="C50" s="246"/>
      <c r="D50" s="247"/>
      <c r="E50" s="92">
        <f t="shared" ref="E50:K50" si="22">$C50*$D50*12*E$22</f>
        <v>0</v>
      </c>
      <c r="F50" s="92">
        <f t="shared" si="22"/>
        <v>0</v>
      </c>
      <c r="G50" s="92">
        <f t="shared" si="22"/>
        <v>0</v>
      </c>
      <c r="H50" s="92">
        <f t="shared" si="22"/>
        <v>0</v>
      </c>
      <c r="I50" s="92">
        <f t="shared" si="22"/>
        <v>0</v>
      </c>
      <c r="J50" s="92">
        <f t="shared" si="22"/>
        <v>0</v>
      </c>
      <c r="K50" s="92">
        <f t="shared" si="22"/>
        <v>0</v>
      </c>
    </row>
    <row r="51" spans="1:12">
      <c r="A51" s="105"/>
      <c r="B51" s="105"/>
      <c r="C51" s="246"/>
      <c r="D51" s="247"/>
      <c r="E51" s="92"/>
      <c r="F51" s="92"/>
      <c r="G51" s="92"/>
      <c r="H51" s="92"/>
      <c r="I51" s="92"/>
      <c r="J51" s="92"/>
      <c r="K51" s="92"/>
    </row>
    <row r="52" spans="1:12">
      <c r="A52" s="93" t="s">
        <v>318</v>
      </c>
      <c r="B52" s="93"/>
      <c r="C52" s="93"/>
      <c r="D52" s="93"/>
      <c r="E52" s="111">
        <f t="shared" ref="E52:K52" si="23">SUM(E50:E51)</f>
        <v>0</v>
      </c>
      <c r="F52" s="111">
        <f t="shared" si="23"/>
        <v>0</v>
      </c>
      <c r="G52" s="111">
        <f t="shared" si="23"/>
        <v>0</v>
      </c>
      <c r="H52" s="111">
        <f t="shared" si="23"/>
        <v>0</v>
      </c>
      <c r="I52" s="111">
        <f t="shared" si="23"/>
        <v>0</v>
      </c>
      <c r="J52" s="111">
        <f t="shared" si="23"/>
        <v>0</v>
      </c>
      <c r="K52" s="111">
        <f t="shared" si="23"/>
        <v>0</v>
      </c>
    </row>
    <row r="53" spans="1:12">
      <c r="A53" s="93" t="s">
        <v>130</v>
      </c>
      <c r="B53" s="93"/>
      <c r="C53" s="93"/>
      <c r="D53" s="93"/>
      <c r="E53" s="111">
        <f t="shared" ref="E53:K53" si="24">E47+E52</f>
        <v>0</v>
      </c>
      <c r="F53" s="111">
        <f t="shared" si="24"/>
        <v>0</v>
      </c>
      <c r="G53" s="111">
        <f t="shared" si="24"/>
        <v>0</v>
      </c>
      <c r="H53" s="111">
        <f t="shared" si="24"/>
        <v>0</v>
      </c>
      <c r="I53" s="111">
        <f t="shared" si="24"/>
        <v>0</v>
      </c>
      <c r="J53" s="111">
        <f t="shared" si="24"/>
        <v>0</v>
      </c>
      <c r="K53" s="111">
        <f t="shared" si="24"/>
        <v>0</v>
      </c>
    </row>
    <row r="54" spans="1:12">
      <c r="A54" s="91"/>
      <c r="B54" s="91"/>
      <c r="C54" s="91"/>
      <c r="D54" s="91"/>
      <c r="E54" s="92"/>
      <c r="F54" s="92"/>
      <c r="G54" s="92"/>
      <c r="H54" s="92"/>
      <c r="I54" s="92"/>
      <c r="J54" s="92"/>
      <c r="K54" s="92"/>
    </row>
    <row r="55" spans="1:12">
      <c r="A55" s="93" t="s">
        <v>309</v>
      </c>
      <c r="B55" s="93"/>
      <c r="C55" s="93"/>
      <c r="D55" s="93"/>
      <c r="E55" s="111">
        <f t="shared" ref="E55:K55" si="25">E37-E53</f>
        <v>0</v>
      </c>
      <c r="F55" s="111">
        <f t="shared" si="25"/>
        <v>0</v>
      </c>
      <c r="G55" s="111">
        <f t="shared" si="25"/>
        <v>0</v>
      </c>
      <c r="H55" s="111">
        <f t="shared" si="25"/>
        <v>0</v>
      </c>
      <c r="I55" s="111">
        <f t="shared" si="25"/>
        <v>0</v>
      </c>
      <c r="J55" s="111">
        <f t="shared" si="25"/>
        <v>0</v>
      </c>
      <c r="K55" s="111">
        <f t="shared" si="25"/>
        <v>0</v>
      </c>
    </row>
    <row r="56" spans="1:12">
      <c r="A56" s="259"/>
      <c r="B56" s="259"/>
      <c r="C56" s="259"/>
      <c r="D56" s="259"/>
      <c r="E56" s="260"/>
      <c r="F56" s="260"/>
      <c r="G56" s="260"/>
      <c r="H56" s="260"/>
      <c r="I56" s="260"/>
      <c r="J56" s="260"/>
      <c r="K56" s="260"/>
    </row>
    <row r="57" spans="1:12">
      <c r="A57" s="90"/>
      <c r="B57" s="90"/>
      <c r="C57" s="259"/>
      <c r="D57" s="259"/>
      <c r="E57" s="260"/>
      <c r="F57" s="260"/>
      <c r="G57" s="260"/>
      <c r="H57" s="260"/>
      <c r="I57" s="260"/>
      <c r="J57" s="260"/>
      <c r="K57" s="260"/>
    </row>
    <row r="58" spans="1:12">
      <c r="A58" s="472" t="s">
        <v>411</v>
      </c>
      <c r="B58" s="472"/>
      <c r="C58" s="472"/>
      <c r="D58" s="472"/>
      <c r="E58" s="472"/>
      <c r="F58" s="472"/>
      <c r="G58" s="472"/>
      <c r="H58" s="472"/>
      <c r="I58" s="472"/>
      <c r="J58" s="472"/>
      <c r="K58" s="472"/>
      <c r="L58" s="472"/>
    </row>
    <row r="61" spans="1:12">
      <c r="A61" t="s">
        <v>530</v>
      </c>
    </row>
    <row r="62" spans="1:12">
      <c r="A62">
        <v>1</v>
      </c>
      <c r="B62" t="s">
        <v>543</v>
      </c>
    </row>
    <row r="63" spans="1:12">
      <c r="A63">
        <v>2</v>
      </c>
      <c r="B63" t="s">
        <v>544</v>
      </c>
    </row>
    <row r="64" spans="1:12">
      <c r="A64">
        <v>3</v>
      </c>
      <c r="B64" s="90" t="s">
        <v>595</v>
      </c>
    </row>
  </sheetData>
  <mergeCells count="4">
    <mergeCell ref="A20:K20"/>
    <mergeCell ref="A3:L3"/>
    <mergeCell ref="A58:L58"/>
    <mergeCell ref="A4:L4"/>
  </mergeCells>
  <pageMargins left="0.7" right="0.7" top="0.75" bottom="0.75" header="0.3" footer="0.3"/>
  <pageSetup paperSize="9" scale="4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5"/>
  <sheetViews>
    <sheetView view="pageBreakPreview" topLeftCell="A215" zoomScale="80" zoomScaleSheetLayoutView="80" workbookViewId="0">
      <selection activeCell="C222" sqref="C222"/>
    </sheetView>
  </sheetViews>
  <sheetFormatPr defaultRowHeight="14.5"/>
  <cols>
    <col min="1" max="1" width="41.1796875" bestFit="1" customWidth="1"/>
    <col min="2" max="2" width="9.1796875" customWidth="1"/>
    <col min="3" max="3" width="10.54296875" bestFit="1" customWidth="1"/>
    <col min="4" max="4" width="13.453125" bestFit="1" customWidth="1"/>
    <col min="5" max="5" width="19.453125" bestFit="1" customWidth="1"/>
    <col min="6" max="6" width="14.7265625" customWidth="1"/>
    <col min="7" max="10" width="14.7265625" bestFit="1" customWidth="1"/>
    <col min="12" max="12" width="27.1796875" bestFit="1" customWidth="1"/>
    <col min="18" max="20" width="9.453125" bestFit="1" customWidth="1"/>
    <col min="22" max="22" width="9.453125" bestFit="1" customWidth="1"/>
  </cols>
  <sheetData>
    <row r="2" spans="1:9" ht="17.5">
      <c r="A2" s="473" t="s">
        <v>588</v>
      </c>
      <c r="B2" s="473"/>
      <c r="C2" s="473"/>
      <c r="D2" s="473"/>
      <c r="E2" s="473"/>
      <c r="F2" s="473"/>
      <c r="G2" s="473"/>
      <c r="H2" s="473"/>
      <c r="I2" s="473"/>
    </row>
    <row r="4" spans="1:9">
      <c r="A4" s="90"/>
      <c r="B4" s="90"/>
      <c r="C4" s="90"/>
      <c r="D4" s="90"/>
      <c r="E4" s="90"/>
      <c r="F4" s="90"/>
      <c r="G4" s="90"/>
      <c r="H4" s="90"/>
      <c r="I4" s="90"/>
    </row>
    <row r="5" spans="1:9">
      <c r="A5" s="90"/>
      <c r="B5" s="90"/>
      <c r="C5" s="90"/>
      <c r="D5" s="90"/>
      <c r="E5" s="90"/>
      <c r="F5" s="90"/>
      <c r="G5" s="90"/>
      <c r="H5" s="90"/>
      <c r="I5" s="90"/>
    </row>
    <row r="6" spans="1:9">
      <c r="A6" s="144" t="s">
        <v>128</v>
      </c>
      <c r="B6" s="144"/>
      <c r="C6" s="116" t="s">
        <v>2</v>
      </c>
      <c r="D6" s="116" t="s">
        <v>3</v>
      </c>
      <c r="E6" s="116" t="s">
        <v>4</v>
      </c>
      <c r="F6" s="116" t="s">
        <v>5</v>
      </c>
      <c r="G6" s="116" t="s">
        <v>6</v>
      </c>
      <c r="H6" s="116" t="s">
        <v>169</v>
      </c>
      <c r="I6" s="116" t="s">
        <v>168</v>
      </c>
    </row>
    <row r="7" spans="1:9">
      <c r="A7" s="97" t="s">
        <v>546</v>
      </c>
      <c r="B7" s="95"/>
      <c r="C7" s="95"/>
      <c r="D7" s="95"/>
      <c r="E7" s="95"/>
      <c r="F7" s="95"/>
      <c r="G7" s="95"/>
      <c r="H7" s="95"/>
      <c r="I7" s="95"/>
    </row>
    <row r="8" spans="1:9">
      <c r="A8" s="97" t="s">
        <v>178</v>
      </c>
      <c r="B8" s="199"/>
      <c r="C8" s="245"/>
      <c r="D8" s="245"/>
      <c r="E8" s="245"/>
      <c r="F8" s="245"/>
      <c r="G8" s="245"/>
      <c r="H8" s="245"/>
      <c r="I8" s="245"/>
    </row>
    <row r="9" spans="1:9">
      <c r="A9" s="95" t="str">
        <f>'10.Grain Production details'!A92</f>
        <v>Soybean</v>
      </c>
      <c r="B9" s="199"/>
      <c r="C9" s="245">
        <f>'10.Grain Production details'!B92</f>
        <v>0</v>
      </c>
      <c r="D9" s="245">
        <f>'10.Grain Production details'!C92</f>
        <v>0</v>
      </c>
      <c r="E9" s="245">
        <f>'10.Grain Production details'!D92</f>
        <v>0</v>
      </c>
      <c r="F9" s="245">
        <f>'10.Grain Production details'!E92</f>
        <v>0</v>
      </c>
      <c r="G9" s="245">
        <f>'10.Grain Production details'!F92</f>
        <v>0</v>
      </c>
      <c r="H9" s="245">
        <f>'10.Grain Production details'!G92</f>
        <v>0</v>
      </c>
      <c r="I9" s="245">
        <f>'10.Grain Production details'!H92</f>
        <v>0</v>
      </c>
    </row>
    <row r="10" spans="1:9">
      <c r="A10" s="95" t="str">
        <f>'10.Grain Production details'!A93</f>
        <v>Red Gram/Tur</v>
      </c>
      <c r="B10" s="199"/>
      <c r="C10" s="245">
        <f>'10.Grain Production details'!B93</f>
        <v>0</v>
      </c>
      <c r="D10" s="245">
        <f>'10.Grain Production details'!C93</f>
        <v>0</v>
      </c>
      <c r="E10" s="245">
        <f>'10.Grain Production details'!D93</f>
        <v>0</v>
      </c>
      <c r="F10" s="245">
        <f>'10.Grain Production details'!E93</f>
        <v>0</v>
      </c>
      <c r="G10" s="245">
        <f>'10.Grain Production details'!F93</f>
        <v>0</v>
      </c>
      <c r="H10" s="245">
        <f>'10.Grain Production details'!G93</f>
        <v>0</v>
      </c>
      <c r="I10" s="245">
        <f>'10.Grain Production details'!H93</f>
        <v>0</v>
      </c>
    </row>
    <row r="11" spans="1:9">
      <c r="A11" s="95" t="str">
        <f>'10.Grain Production details'!A94</f>
        <v>Paddy/Rice</v>
      </c>
      <c r="B11" s="199"/>
      <c r="C11" s="245">
        <f>'10.Grain Production details'!B94</f>
        <v>0</v>
      </c>
      <c r="D11" s="245">
        <f>'10.Grain Production details'!C94</f>
        <v>0</v>
      </c>
      <c r="E11" s="245">
        <f>'10.Grain Production details'!D94</f>
        <v>0</v>
      </c>
      <c r="F11" s="245">
        <f>'10.Grain Production details'!E94</f>
        <v>0</v>
      </c>
      <c r="G11" s="245">
        <f>'10.Grain Production details'!F94</f>
        <v>0</v>
      </c>
      <c r="H11" s="245">
        <f>'10.Grain Production details'!G94</f>
        <v>0</v>
      </c>
      <c r="I11" s="245">
        <f>'10.Grain Production details'!H94</f>
        <v>0</v>
      </c>
    </row>
    <row r="12" spans="1:9">
      <c r="A12" s="95" t="str">
        <f>'10.Grain Production details'!A95</f>
        <v>Green Gram/ Moong</v>
      </c>
      <c r="B12" s="199"/>
      <c r="C12" s="245">
        <f>'10.Grain Production details'!B95</f>
        <v>0</v>
      </c>
      <c r="D12" s="245">
        <f>'10.Grain Production details'!C95</f>
        <v>0</v>
      </c>
      <c r="E12" s="245">
        <f>'10.Grain Production details'!D95</f>
        <v>0</v>
      </c>
      <c r="F12" s="245">
        <f>'10.Grain Production details'!E95</f>
        <v>0</v>
      </c>
      <c r="G12" s="245">
        <f>'10.Grain Production details'!F95</f>
        <v>0</v>
      </c>
      <c r="H12" s="245">
        <f>'10.Grain Production details'!G95</f>
        <v>0</v>
      </c>
      <c r="I12" s="245">
        <f>'10.Grain Production details'!H95</f>
        <v>0</v>
      </c>
    </row>
    <row r="13" spans="1:9">
      <c r="A13" s="95" t="str">
        <f>'10.Grain Production details'!A96</f>
        <v>Maize</v>
      </c>
      <c r="B13" s="199"/>
      <c r="C13" s="245">
        <f>'10.Grain Production details'!B96</f>
        <v>0</v>
      </c>
      <c r="D13" s="245">
        <f>'10.Grain Production details'!C96</f>
        <v>0</v>
      </c>
      <c r="E13" s="245">
        <f>'10.Grain Production details'!D96</f>
        <v>0</v>
      </c>
      <c r="F13" s="245">
        <f>'10.Grain Production details'!E96</f>
        <v>0</v>
      </c>
      <c r="G13" s="245">
        <f>'10.Grain Production details'!F96</f>
        <v>0</v>
      </c>
      <c r="H13" s="245">
        <f>'10.Grain Production details'!G96</f>
        <v>0</v>
      </c>
      <c r="I13" s="245">
        <f>'10.Grain Production details'!H96</f>
        <v>0</v>
      </c>
    </row>
    <row r="14" spans="1:9">
      <c r="A14" s="95" t="str">
        <f>'10.Grain Production details'!A97</f>
        <v>Black Gram/Udid</v>
      </c>
      <c r="B14" s="199"/>
      <c r="C14" s="245">
        <f>'10.Grain Production details'!B97</f>
        <v>0</v>
      </c>
      <c r="D14" s="245">
        <f>'10.Grain Production details'!C97</f>
        <v>0</v>
      </c>
      <c r="E14" s="245">
        <f>'10.Grain Production details'!D97</f>
        <v>0</v>
      </c>
      <c r="F14" s="245">
        <f>'10.Grain Production details'!E97</f>
        <v>0</v>
      </c>
      <c r="G14" s="245">
        <f>'10.Grain Production details'!F97</f>
        <v>0</v>
      </c>
      <c r="H14" s="245">
        <f>'10.Grain Production details'!G97</f>
        <v>0</v>
      </c>
      <c r="I14" s="245">
        <f>'10.Grain Production details'!H97</f>
        <v>0</v>
      </c>
    </row>
    <row r="15" spans="1:9">
      <c r="A15" s="95" t="str">
        <f>'10.Grain Production details'!A98</f>
        <v>Bajra</v>
      </c>
      <c r="B15" s="199"/>
      <c r="C15" s="245">
        <f>'10.Grain Production details'!B98</f>
        <v>0</v>
      </c>
      <c r="D15" s="245">
        <f>'10.Grain Production details'!C98</f>
        <v>0</v>
      </c>
      <c r="E15" s="245">
        <f>'10.Grain Production details'!D98</f>
        <v>0</v>
      </c>
      <c r="F15" s="245">
        <f>'10.Grain Production details'!E98</f>
        <v>0</v>
      </c>
      <c r="G15" s="245">
        <f>'10.Grain Production details'!F98</f>
        <v>0</v>
      </c>
      <c r="H15" s="245">
        <f>'10.Grain Production details'!G98</f>
        <v>0</v>
      </c>
      <c r="I15" s="245">
        <f>'10.Grain Production details'!H98</f>
        <v>0</v>
      </c>
    </row>
    <row r="16" spans="1:9">
      <c r="A16" s="95" t="str">
        <f>'10.Grain Production details'!A99</f>
        <v>Jawar</v>
      </c>
      <c r="B16" s="199"/>
      <c r="C16" s="245">
        <f>'10.Grain Production details'!B99</f>
        <v>0</v>
      </c>
      <c r="D16" s="245">
        <f>'10.Grain Production details'!C99</f>
        <v>0</v>
      </c>
      <c r="E16" s="245">
        <f>'10.Grain Production details'!D99</f>
        <v>0</v>
      </c>
      <c r="F16" s="245">
        <f>'10.Grain Production details'!E99</f>
        <v>0</v>
      </c>
      <c r="G16" s="245">
        <f>'10.Grain Production details'!F99</f>
        <v>0</v>
      </c>
      <c r="H16" s="245">
        <f>'10.Grain Production details'!G99</f>
        <v>0</v>
      </c>
      <c r="I16" s="245">
        <f>'10.Grain Production details'!H99</f>
        <v>0</v>
      </c>
    </row>
    <row r="17" spans="1:9">
      <c r="A17" s="97" t="s">
        <v>182</v>
      </c>
      <c r="B17" s="199"/>
      <c r="C17" s="245"/>
      <c r="D17" s="245"/>
      <c r="E17" s="245"/>
      <c r="F17" s="245"/>
      <c r="G17" s="245"/>
      <c r="H17" s="245"/>
      <c r="I17" s="245"/>
    </row>
    <row r="18" spans="1:9">
      <c r="A18" s="95" t="str">
        <f>'10.Grain Production details'!A101</f>
        <v>Wheat</v>
      </c>
      <c r="B18" s="199"/>
      <c r="C18" s="245">
        <f>'10.Grain Production details'!B101</f>
        <v>0</v>
      </c>
      <c r="D18" s="245">
        <f>'10.Grain Production details'!C101</f>
        <v>0</v>
      </c>
      <c r="E18" s="245">
        <f>'10.Grain Production details'!D101</f>
        <v>0</v>
      </c>
      <c r="F18" s="245">
        <f>'10.Grain Production details'!E101</f>
        <v>0</v>
      </c>
      <c r="G18" s="245">
        <f>'10.Grain Production details'!F101</f>
        <v>0</v>
      </c>
      <c r="H18" s="245">
        <f>'10.Grain Production details'!G101</f>
        <v>0</v>
      </c>
      <c r="I18" s="245">
        <f>'10.Grain Production details'!H101</f>
        <v>0</v>
      </c>
    </row>
    <row r="19" spans="1:9">
      <c r="A19" s="95" t="str">
        <f>'10.Grain Production details'!A102</f>
        <v>Bengal Gram/Channa</v>
      </c>
      <c r="B19" s="199"/>
      <c r="C19" s="245">
        <f>'10.Grain Production details'!B102</f>
        <v>0</v>
      </c>
      <c r="D19" s="245">
        <f>'10.Grain Production details'!C102</f>
        <v>0</v>
      </c>
      <c r="E19" s="245">
        <f>'10.Grain Production details'!D102</f>
        <v>0</v>
      </c>
      <c r="F19" s="245">
        <f>'10.Grain Production details'!E102</f>
        <v>0</v>
      </c>
      <c r="G19" s="245">
        <f>'10.Grain Production details'!F102</f>
        <v>0</v>
      </c>
      <c r="H19" s="245">
        <f>'10.Grain Production details'!G102</f>
        <v>0</v>
      </c>
      <c r="I19" s="245">
        <f>'10.Grain Production details'!H102</f>
        <v>0</v>
      </c>
    </row>
    <row r="20" spans="1:9">
      <c r="A20" s="95" t="str">
        <f>'10.Grain Production details'!A103</f>
        <v>Jawar</v>
      </c>
      <c r="B20" s="199"/>
      <c r="C20" s="245">
        <f>'10.Grain Production details'!B103</f>
        <v>0</v>
      </c>
      <c r="D20" s="245">
        <f>'10.Grain Production details'!C103</f>
        <v>0</v>
      </c>
      <c r="E20" s="245">
        <f>'10.Grain Production details'!D103</f>
        <v>0</v>
      </c>
      <c r="F20" s="245">
        <f>'10.Grain Production details'!E103</f>
        <v>0</v>
      </c>
      <c r="G20" s="245">
        <f>'10.Grain Production details'!F103</f>
        <v>0</v>
      </c>
      <c r="H20" s="245">
        <f>'10.Grain Production details'!G103</f>
        <v>0</v>
      </c>
      <c r="I20" s="245">
        <f>'10.Grain Production details'!H103</f>
        <v>0</v>
      </c>
    </row>
    <row r="21" spans="1:9">
      <c r="A21" s="95" t="str">
        <f>'10.Grain Production details'!A104</f>
        <v>Maize</v>
      </c>
      <c r="B21" s="199"/>
      <c r="C21" s="245">
        <f>'10.Grain Production details'!B104</f>
        <v>0</v>
      </c>
      <c r="D21" s="245">
        <f>'10.Grain Production details'!C104</f>
        <v>0</v>
      </c>
      <c r="E21" s="245">
        <f>'10.Grain Production details'!D104</f>
        <v>0</v>
      </c>
      <c r="F21" s="245">
        <f>'10.Grain Production details'!E104</f>
        <v>0</v>
      </c>
      <c r="G21" s="245">
        <f>'10.Grain Production details'!F104</f>
        <v>0</v>
      </c>
      <c r="H21" s="245">
        <f>'10.Grain Production details'!G104</f>
        <v>0</v>
      </c>
      <c r="I21" s="245">
        <f>'10.Grain Production details'!H104</f>
        <v>0</v>
      </c>
    </row>
    <row r="22" spans="1:9">
      <c r="A22" s="95" t="str">
        <f>'10.Grain Production details'!A105</f>
        <v>Safflower</v>
      </c>
      <c r="B22" s="199"/>
      <c r="C22" s="245">
        <f>'10.Grain Production details'!B105</f>
        <v>0</v>
      </c>
      <c r="D22" s="245">
        <f>'10.Grain Production details'!C105</f>
        <v>0</v>
      </c>
      <c r="E22" s="245">
        <f>'10.Grain Production details'!D105</f>
        <v>0</v>
      </c>
      <c r="F22" s="245">
        <f>'10.Grain Production details'!E105</f>
        <v>0</v>
      </c>
      <c r="G22" s="245">
        <f>'10.Grain Production details'!F105</f>
        <v>0</v>
      </c>
      <c r="H22" s="245">
        <f>'10.Grain Production details'!G105</f>
        <v>0</v>
      </c>
      <c r="I22" s="245">
        <f>'10.Grain Production details'!H105</f>
        <v>0</v>
      </c>
    </row>
    <row r="23" spans="1:9">
      <c r="A23" s="95">
        <f>'10.Grain Production details'!A106</f>
        <v>0</v>
      </c>
      <c r="B23" s="199"/>
      <c r="C23" s="245">
        <f>'10.Grain Production details'!B106</f>
        <v>0</v>
      </c>
      <c r="D23" s="245">
        <f>'10.Grain Production details'!C106</f>
        <v>0</v>
      </c>
      <c r="E23" s="245">
        <f>'10.Grain Production details'!D106</f>
        <v>0</v>
      </c>
      <c r="F23" s="245">
        <f>'10.Grain Production details'!E106</f>
        <v>0</v>
      </c>
      <c r="G23" s="245">
        <f>'10.Grain Production details'!F106</f>
        <v>0</v>
      </c>
      <c r="H23" s="245">
        <f>'10.Grain Production details'!G106</f>
        <v>0</v>
      </c>
      <c r="I23" s="245">
        <f>'10.Grain Production details'!H106</f>
        <v>0</v>
      </c>
    </row>
    <row r="24" spans="1:9">
      <c r="A24" s="95">
        <f>'10.Grain Production details'!A107</f>
        <v>0</v>
      </c>
      <c r="B24" s="199"/>
      <c r="C24" s="245">
        <f>'10.Grain Production details'!B107</f>
        <v>0</v>
      </c>
      <c r="D24" s="245">
        <f>'10.Grain Production details'!C107</f>
        <v>0</v>
      </c>
      <c r="E24" s="245">
        <f>'10.Grain Production details'!D107</f>
        <v>0</v>
      </c>
      <c r="F24" s="245">
        <f>'10.Grain Production details'!E107</f>
        <v>0</v>
      </c>
      <c r="G24" s="245">
        <f>'10.Grain Production details'!F107</f>
        <v>0</v>
      </c>
      <c r="H24" s="245">
        <f>'10.Grain Production details'!G107</f>
        <v>0</v>
      </c>
      <c r="I24" s="245">
        <f>'10.Grain Production details'!H107</f>
        <v>0</v>
      </c>
    </row>
    <row r="25" spans="1:9">
      <c r="A25" s="95">
        <f>'10.Grain Production details'!A108</f>
        <v>0</v>
      </c>
      <c r="B25" s="199"/>
      <c r="C25" s="245">
        <f>'10.Grain Production details'!B108</f>
        <v>0</v>
      </c>
      <c r="D25" s="245">
        <f>'10.Grain Production details'!C108</f>
        <v>0</v>
      </c>
      <c r="E25" s="245">
        <f>'10.Grain Production details'!D108</f>
        <v>0</v>
      </c>
      <c r="F25" s="245">
        <f>'10.Grain Production details'!E108</f>
        <v>0</v>
      </c>
      <c r="G25" s="245">
        <f>'10.Grain Production details'!F108</f>
        <v>0</v>
      </c>
      <c r="H25" s="245">
        <f>'10.Grain Production details'!G108</f>
        <v>0</v>
      </c>
      <c r="I25" s="245">
        <f>'10.Grain Production details'!H108</f>
        <v>0</v>
      </c>
    </row>
    <row r="26" spans="1:9">
      <c r="A26" s="97" t="str">
        <f>'10.Grain Production details'!A33</f>
        <v>Summer</v>
      </c>
      <c r="B26" s="199"/>
      <c r="C26" s="245"/>
      <c r="D26" s="245"/>
      <c r="E26" s="245"/>
      <c r="F26" s="245"/>
      <c r="G26" s="245"/>
      <c r="H26" s="245"/>
      <c r="I26" s="245"/>
    </row>
    <row r="27" spans="1:9">
      <c r="A27" s="95" t="str">
        <f>'10.Grain Production details'!A109</f>
        <v>Groundnut</v>
      </c>
      <c r="B27" s="199"/>
      <c r="C27" s="245">
        <f>'10.Grain Production details'!B110</f>
        <v>0</v>
      </c>
      <c r="D27" s="245">
        <f>'10.Grain Production details'!C110</f>
        <v>0</v>
      </c>
      <c r="E27" s="245">
        <f>'10.Grain Production details'!D110</f>
        <v>0</v>
      </c>
      <c r="F27" s="245">
        <f>'10.Grain Production details'!E110</f>
        <v>0</v>
      </c>
      <c r="G27" s="245">
        <f>'10.Grain Production details'!F110</f>
        <v>0</v>
      </c>
      <c r="H27" s="245">
        <f>'10.Grain Production details'!G110</f>
        <v>0</v>
      </c>
      <c r="I27" s="245">
        <f>'10.Grain Production details'!H110</f>
        <v>0</v>
      </c>
    </row>
    <row r="28" spans="1:9">
      <c r="A28" s="95">
        <f>'10.Grain Production details'!A110</f>
        <v>0</v>
      </c>
      <c r="B28" s="199"/>
      <c r="C28" s="245">
        <f>'10.Grain Production details'!B111</f>
        <v>0</v>
      </c>
      <c r="D28" s="245">
        <f>'10.Grain Production details'!C111</f>
        <v>0</v>
      </c>
      <c r="E28" s="245">
        <f>'10.Grain Production details'!D111</f>
        <v>0</v>
      </c>
      <c r="F28" s="245">
        <f>'10.Grain Production details'!E111</f>
        <v>0</v>
      </c>
      <c r="G28" s="245">
        <f>'10.Grain Production details'!F111</f>
        <v>0</v>
      </c>
      <c r="H28" s="245">
        <f>'10.Grain Production details'!G111</f>
        <v>0</v>
      </c>
      <c r="I28" s="245">
        <f>'10.Grain Production details'!H111</f>
        <v>0</v>
      </c>
    </row>
    <row r="29" spans="1:9">
      <c r="A29" s="95">
        <f>'10.Grain Production details'!A111</f>
        <v>0</v>
      </c>
      <c r="B29" s="199"/>
      <c r="C29" s="245">
        <f>'10.Grain Production details'!B112</f>
        <v>0</v>
      </c>
      <c r="D29" s="245">
        <f>'10.Grain Production details'!C112</f>
        <v>0</v>
      </c>
      <c r="E29" s="245">
        <f>'10.Grain Production details'!D112</f>
        <v>0</v>
      </c>
      <c r="F29" s="245">
        <f>'10.Grain Production details'!E112</f>
        <v>0</v>
      </c>
      <c r="G29" s="245">
        <f>'10.Grain Production details'!F112</f>
        <v>0</v>
      </c>
      <c r="H29" s="245">
        <f>'10.Grain Production details'!G112</f>
        <v>0</v>
      </c>
      <c r="I29" s="245">
        <f>'10.Grain Production details'!H112</f>
        <v>0</v>
      </c>
    </row>
    <row r="30" spans="1:9">
      <c r="A30" s="95">
        <f>'10.Grain Production details'!A112</f>
        <v>0</v>
      </c>
      <c r="B30" s="199"/>
      <c r="C30" s="245">
        <f>'10.Grain Production details'!B113</f>
        <v>0</v>
      </c>
      <c r="D30" s="245">
        <f>'10.Grain Production details'!C113</f>
        <v>0</v>
      </c>
      <c r="E30" s="245">
        <f>'10.Grain Production details'!D113</f>
        <v>0</v>
      </c>
      <c r="F30" s="245">
        <f>'10.Grain Production details'!E113</f>
        <v>0</v>
      </c>
      <c r="G30" s="245">
        <f>'10.Grain Production details'!F113</f>
        <v>0</v>
      </c>
      <c r="H30" s="245">
        <f>'10.Grain Production details'!G113</f>
        <v>0</v>
      </c>
      <c r="I30" s="245">
        <f>'10.Grain Production details'!H113</f>
        <v>0</v>
      </c>
    </row>
    <row r="31" spans="1:9">
      <c r="A31" s="95">
        <f>'10.Grain Production details'!A113</f>
        <v>0</v>
      </c>
      <c r="B31" s="199"/>
      <c r="C31" s="245">
        <f>'10.Grain Production details'!C114</f>
        <v>0</v>
      </c>
      <c r="D31" s="245">
        <f>'10.Grain Production details'!D114</f>
        <v>0</v>
      </c>
      <c r="E31" s="245">
        <f>'10.Grain Production details'!E114</f>
        <v>0</v>
      </c>
      <c r="F31" s="245">
        <f>'10.Grain Production details'!F114</f>
        <v>0</v>
      </c>
      <c r="G31" s="245">
        <f>'10.Grain Production details'!G114</f>
        <v>0</v>
      </c>
      <c r="H31" s="245">
        <f>'10.Grain Production details'!H114</f>
        <v>0</v>
      </c>
      <c r="I31" s="245">
        <f>'10.Grain Production details'!I114</f>
        <v>0</v>
      </c>
    </row>
    <row r="32" spans="1:9">
      <c r="A32" s="97" t="str">
        <f>'11.F&amp;V Crop Production details'!A1:H1</f>
        <v>Fruit  &amp; Vegetables Crop Production Details</v>
      </c>
      <c r="B32" s="199"/>
      <c r="C32" s="245"/>
      <c r="D32" s="245"/>
      <c r="E32" s="245"/>
      <c r="F32" s="245"/>
      <c r="G32" s="245"/>
      <c r="H32" s="245"/>
      <c r="I32" s="245"/>
    </row>
    <row r="33" spans="1:9">
      <c r="A33" s="95" t="str">
        <f>'11.F&amp;V Crop Production details'!A102</f>
        <v>Onion</v>
      </c>
      <c r="B33" s="199"/>
      <c r="C33" s="245">
        <f>'11.F&amp;V Crop Production details'!B102</f>
        <v>0</v>
      </c>
      <c r="D33" s="245">
        <f>'11.F&amp;V Crop Production details'!C102</f>
        <v>0</v>
      </c>
      <c r="E33" s="245">
        <f>'11.F&amp;V Crop Production details'!D102</f>
        <v>0</v>
      </c>
      <c r="F33" s="245">
        <f>'11.F&amp;V Crop Production details'!E102</f>
        <v>0</v>
      </c>
      <c r="G33" s="245">
        <f>'11.F&amp;V Crop Production details'!F102</f>
        <v>0</v>
      </c>
      <c r="H33" s="245">
        <f>'11.F&amp;V Crop Production details'!G102</f>
        <v>0</v>
      </c>
      <c r="I33" s="245">
        <f>'11.F&amp;V Crop Production details'!H102</f>
        <v>0</v>
      </c>
    </row>
    <row r="34" spans="1:9">
      <c r="A34" s="95" t="str">
        <f>'11.F&amp;V Crop Production details'!A103</f>
        <v>Tomato</v>
      </c>
      <c r="B34" s="199"/>
      <c r="C34" s="245">
        <f>'11.F&amp;V Crop Production details'!B103</f>
        <v>0</v>
      </c>
      <c r="D34" s="245">
        <f>'11.F&amp;V Crop Production details'!C103</f>
        <v>0</v>
      </c>
      <c r="E34" s="245">
        <f>'11.F&amp;V Crop Production details'!D103</f>
        <v>0</v>
      </c>
      <c r="F34" s="245">
        <f>'11.F&amp;V Crop Production details'!E103</f>
        <v>0</v>
      </c>
      <c r="G34" s="245">
        <f>'11.F&amp;V Crop Production details'!F103</f>
        <v>0</v>
      </c>
      <c r="H34" s="245">
        <f>'11.F&amp;V Crop Production details'!G103</f>
        <v>0</v>
      </c>
      <c r="I34" s="245">
        <f>'11.F&amp;V Crop Production details'!H103</f>
        <v>0</v>
      </c>
    </row>
    <row r="35" spans="1:9">
      <c r="A35" s="95" t="str">
        <f>'11.F&amp;V Crop Production details'!A104</f>
        <v>Okra</v>
      </c>
      <c r="B35" s="199"/>
      <c r="C35" s="245">
        <f>'11.F&amp;V Crop Production details'!B104</f>
        <v>0</v>
      </c>
      <c r="D35" s="245">
        <f>'11.F&amp;V Crop Production details'!C104</f>
        <v>0</v>
      </c>
      <c r="E35" s="245">
        <f>'11.F&amp;V Crop Production details'!D104</f>
        <v>0</v>
      </c>
      <c r="F35" s="245">
        <f>'11.F&amp;V Crop Production details'!E104</f>
        <v>0</v>
      </c>
      <c r="G35" s="245">
        <f>'11.F&amp;V Crop Production details'!F104</f>
        <v>0</v>
      </c>
      <c r="H35" s="245">
        <f>'11.F&amp;V Crop Production details'!G104</f>
        <v>0</v>
      </c>
      <c r="I35" s="245">
        <f>'11.F&amp;V Crop Production details'!H104</f>
        <v>0</v>
      </c>
    </row>
    <row r="36" spans="1:9">
      <c r="A36" s="95" t="str">
        <f>'11.F&amp;V Crop Production details'!A105</f>
        <v>Chilli</v>
      </c>
      <c r="B36" s="199"/>
      <c r="C36" s="245">
        <f>'11.F&amp;V Crop Production details'!B105</f>
        <v>0</v>
      </c>
      <c r="D36" s="245">
        <f>'11.F&amp;V Crop Production details'!C105</f>
        <v>0</v>
      </c>
      <c r="E36" s="245">
        <f>'11.F&amp;V Crop Production details'!D105</f>
        <v>0</v>
      </c>
      <c r="F36" s="245">
        <f>'11.F&amp;V Crop Production details'!E105</f>
        <v>0</v>
      </c>
      <c r="G36" s="245">
        <f>'11.F&amp;V Crop Production details'!F105</f>
        <v>0</v>
      </c>
      <c r="H36" s="245">
        <f>'11.F&amp;V Crop Production details'!G105</f>
        <v>0</v>
      </c>
      <c r="I36" s="245">
        <f>'11.F&amp;V Crop Production details'!H105</f>
        <v>0</v>
      </c>
    </row>
    <row r="37" spans="1:9">
      <c r="A37" s="95" t="str">
        <f>'11.F&amp;V Crop Production details'!A106</f>
        <v>Potato</v>
      </c>
      <c r="B37" s="199"/>
      <c r="C37" s="245">
        <f>'11.F&amp;V Crop Production details'!B106</f>
        <v>0</v>
      </c>
      <c r="D37" s="245">
        <f>'11.F&amp;V Crop Production details'!C106</f>
        <v>0</v>
      </c>
      <c r="E37" s="245">
        <f>'11.F&amp;V Crop Production details'!D106</f>
        <v>0</v>
      </c>
      <c r="F37" s="245">
        <f>'11.F&amp;V Crop Production details'!E106</f>
        <v>0</v>
      </c>
      <c r="G37" s="245">
        <f>'11.F&amp;V Crop Production details'!F106</f>
        <v>0</v>
      </c>
      <c r="H37" s="245">
        <f>'11.F&amp;V Crop Production details'!G106</f>
        <v>0</v>
      </c>
      <c r="I37" s="245">
        <f>'11.F&amp;V Crop Production details'!H106</f>
        <v>0</v>
      </c>
    </row>
    <row r="38" spans="1:9">
      <c r="A38" s="95">
        <f>'11.F&amp;V Crop Production details'!A107</f>
        <v>0</v>
      </c>
      <c r="B38" s="199"/>
      <c r="C38" s="245">
        <f>'11.F&amp;V Crop Production details'!B107</f>
        <v>0</v>
      </c>
      <c r="D38" s="245">
        <f>'11.F&amp;V Crop Production details'!C107</f>
        <v>0</v>
      </c>
      <c r="E38" s="245">
        <f>'11.F&amp;V Crop Production details'!D107</f>
        <v>0</v>
      </c>
      <c r="F38" s="245">
        <f>'11.F&amp;V Crop Production details'!E107</f>
        <v>0</v>
      </c>
      <c r="G38" s="245">
        <f>'11.F&amp;V Crop Production details'!F107</f>
        <v>0</v>
      </c>
      <c r="H38" s="245">
        <f>'11.F&amp;V Crop Production details'!G107</f>
        <v>0</v>
      </c>
      <c r="I38" s="245">
        <f>'11.F&amp;V Crop Production details'!H107</f>
        <v>0</v>
      </c>
    </row>
    <row r="39" spans="1:9">
      <c r="A39" s="95">
        <f>'11.F&amp;V Crop Production details'!A108</f>
        <v>0</v>
      </c>
      <c r="B39" s="199"/>
      <c r="C39" s="245">
        <f>'11.F&amp;V Crop Production details'!B108</f>
        <v>0</v>
      </c>
      <c r="D39" s="245">
        <f>'11.F&amp;V Crop Production details'!C108</f>
        <v>0</v>
      </c>
      <c r="E39" s="245">
        <f>'11.F&amp;V Crop Production details'!D108</f>
        <v>0</v>
      </c>
      <c r="F39" s="245">
        <f>'11.F&amp;V Crop Production details'!E108</f>
        <v>0</v>
      </c>
      <c r="G39" s="245">
        <f>'11.F&amp;V Crop Production details'!F108</f>
        <v>0</v>
      </c>
      <c r="H39" s="245">
        <f>'11.F&amp;V Crop Production details'!G108</f>
        <v>0</v>
      </c>
      <c r="I39" s="245">
        <f>'11.F&amp;V Crop Production details'!H108</f>
        <v>0</v>
      </c>
    </row>
    <row r="40" spans="1:9">
      <c r="A40" s="95">
        <f>'11.F&amp;V Crop Production details'!A109</f>
        <v>0</v>
      </c>
      <c r="B40" s="199"/>
      <c r="C40" s="245">
        <f>'11.F&amp;V Crop Production details'!B109</f>
        <v>0</v>
      </c>
      <c r="D40" s="245">
        <f>'11.F&amp;V Crop Production details'!C109</f>
        <v>0</v>
      </c>
      <c r="E40" s="245">
        <f>'11.F&amp;V Crop Production details'!D109</f>
        <v>0</v>
      </c>
      <c r="F40" s="245">
        <f>'11.F&amp;V Crop Production details'!E109</f>
        <v>0</v>
      </c>
      <c r="G40" s="245">
        <f>'11.F&amp;V Crop Production details'!F109</f>
        <v>0</v>
      </c>
      <c r="H40" s="245">
        <f>'11.F&amp;V Crop Production details'!G109</f>
        <v>0</v>
      </c>
      <c r="I40" s="245">
        <f>'11.F&amp;V Crop Production details'!H109</f>
        <v>0</v>
      </c>
    </row>
    <row r="41" spans="1:9">
      <c r="A41" s="95">
        <f>'11.F&amp;V Crop Production details'!A110</f>
        <v>0</v>
      </c>
      <c r="B41" s="199"/>
      <c r="C41" s="245">
        <f>'11.F&amp;V Crop Production details'!B110</f>
        <v>0</v>
      </c>
      <c r="D41" s="245">
        <f>'11.F&amp;V Crop Production details'!C110</f>
        <v>0</v>
      </c>
      <c r="E41" s="245">
        <f>'11.F&amp;V Crop Production details'!D110</f>
        <v>0</v>
      </c>
      <c r="F41" s="245">
        <f>'11.F&amp;V Crop Production details'!E110</f>
        <v>0</v>
      </c>
      <c r="G41" s="245">
        <f>'11.F&amp;V Crop Production details'!F110</f>
        <v>0</v>
      </c>
      <c r="H41" s="245">
        <f>'11.F&amp;V Crop Production details'!G110</f>
        <v>0</v>
      </c>
      <c r="I41" s="245">
        <f>'11.F&amp;V Crop Production details'!H110</f>
        <v>0</v>
      </c>
    </row>
    <row r="42" spans="1:9">
      <c r="A42" s="95" t="str">
        <f>'11.F&amp;V Crop Production details'!A111</f>
        <v>Onion</v>
      </c>
      <c r="B42" s="199"/>
      <c r="C42" s="245">
        <f>'11.F&amp;V Crop Production details'!B111</f>
        <v>0</v>
      </c>
      <c r="D42" s="245">
        <f>'11.F&amp;V Crop Production details'!C111</f>
        <v>0</v>
      </c>
      <c r="E42" s="245">
        <f>'11.F&amp;V Crop Production details'!D111</f>
        <v>0</v>
      </c>
      <c r="F42" s="245">
        <f>'11.F&amp;V Crop Production details'!E111</f>
        <v>0</v>
      </c>
      <c r="G42" s="245">
        <f>'11.F&amp;V Crop Production details'!F111</f>
        <v>0</v>
      </c>
      <c r="H42" s="245">
        <f>'11.F&amp;V Crop Production details'!G111</f>
        <v>0</v>
      </c>
      <c r="I42" s="245">
        <f>'11.F&amp;V Crop Production details'!H111</f>
        <v>0</v>
      </c>
    </row>
    <row r="43" spans="1:9">
      <c r="A43" s="95" t="str">
        <f>'11.F&amp;V Crop Production details'!A112</f>
        <v>Tomato</v>
      </c>
      <c r="B43" s="199"/>
      <c r="C43" s="245">
        <f>'11.F&amp;V Crop Production details'!B112</f>
        <v>0</v>
      </c>
      <c r="D43" s="245">
        <f>'11.F&amp;V Crop Production details'!C112</f>
        <v>0</v>
      </c>
      <c r="E43" s="245">
        <f>'11.F&amp;V Crop Production details'!D112</f>
        <v>0</v>
      </c>
      <c r="F43" s="245">
        <f>'11.F&amp;V Crop Production details'!E112</f>
        <v>0</v>
      </c>
      <c r="G43" s="245">
        <f>'11.F&amp;V Crop Production details'!F112</f>
        <v>0</v>
      </c>
      <c r="H43" s="245">
        <f>'11.F&amp;V Crop Production details'!G112</f>
        <v>0</v>
      </c>
      <c r="I43" s="245">
        <f>'11.F&amp;V Crop Production details'!H112</f>
        <v>0</v>
      </c>
    </row>
    <row r="44" spans="1:9">
      <c r="A44" s="95" t="str">
        <f>'11.F&amp;V Crop Production details'!A113</f>
        <v>Okra</v>
      </c>
      <c r="B44" s="199"/>
      <c r="C44" s="245">
        <f>'11.F&amp;V Crop Production details'!B113</f>
        <v>0</v>
      </c>
      <c r="D44" s="245">
        <f>'11.F&amp;V Crop Production details'!C113</f>
        <v>0</v>
      </c>
      <c r="E44" s="245">
        <f>'11.F&amp;V Crop Production details'!D113</f>
        <v>0</v>
      </c>
      <c r="F44" s="245">
        <f>'11.F&amp;V Crop Production details'!E113</f>
        <v>0</v>
      </c>
      <c r="G44" s="245">
        <f>'11.F&amp;V Crop Production details'!F113</f>
        <v>0</v>
      </c>
      <c r="H44" s="245">
        <f>'11.F&amp;V Crop Production details'!G113</f>
        <v>0</v>
      </c>
      <c r="I44" s="245">
        <f>'11.F&amp;V Crop Production details'!H113</f>
        <v>0</v>
      </c>
    </row>
    <row r="45" spans="1:9">
      <c r="A45" s="95" t="str">
        <f>'11.F&amp;V Crop Production details'!A114</f>
        <v>Chilli</v>
      </c>
      <c r="B45" s="199"/>
      <c r="C45" s="245">
        <f>'11.F&amp;V Crop Production details'!B114</f>
        <v>0</v>
      </c>
      <c r="D45" s="245">
        <f>'11.F&amp;V Crop Production details'!C114</f>
        <v>0</v>
      </c>
      <c r="E45" s="245">
        <f>'11.F&amp;V Crop Production details'!D114</f>
        <v>0</v>
      </c>
      <c r="F45" s="245">
        <f>'11.F&amp;V Crop Production details'!E114</f>
        <v>0</v>
      </c>
      <c r="G45" s="245">
        <f>'11.F&amp;V Crop Production details'!F114</f>
        <v>0</v>
      </c>
      <c r="H45" s="245">
        <f>'11.F&amp;V Crop Production details'!G114</f>
        <v>0</v>
      </c>
      <c r="I45" s="245">
        <f>'11.F&amp;V Crop Production details'!H114</f>
        <v>0</v>
      </c>
    </row>
    <row r="46" spans="1:9">
      <c r="A46" s="95" t="str">
        <f>'11.F&amp;V Crop Production details'!A115</f>
        <v>Brinjal</v>
      </c>
      <c r="B46" s="199"/>
      <c r="C46" s="245">
        <f>'11.F&amp;V Crop Production details'!B115</f>
        <v>0</v>
      </c>
      <c r="D46" s="245">
        <f>'11.F&amp;V Crop Production details'!C115</f>
        <v>0</v>
      </c>
      <c r="E46" s="245">
        <f>'11.F&amp;V Crop Production details'!D115</f>
        <v>0</v>
      </c>
      <c r="F46" s="245">
        <f>'11.F&amp;V Crop Production details'!E115</f>
        <v>0</v>
      </c>
      <c r="G46" s="245">
        <f>'11.F&amp;V Crop Production details'!F115</f>
        <v>0</v>
      </c>
      <c r="H46" s="245">
        <f>'11.F&amp;V Crop Production details'!G115</f>
        <v>0</v>
      </c>
      <c r="I46" s="245">
        <f>'11.F&amp;V Crop Production details'!H115</f>
        <v>0</v>
      </c>
    </row>
    <row r="47" spans="1:9">
      <c r="A47" s="95">
        <f>'11.F&amp;V Crop Production details'!A116</f>
        <v>0</v>
      </c>
      <c r="B47" s="199"/>
      <c r="C47" s="245">
        <f>'11.F&amp;V Crop Production details'!B116</f>
        <v>0</v>
      </c>
      <c r="D47" s="245">
        <f>'11.F&amp;V Crop Production details'!C116</f>
        <v>0</v>
      </c>
      <c r="E47" s="245">
        <f>'11.F&amp;V Crop Production details'!D116</f>
        <v>0</v>
      </c>
      <c r="F47" s="245">
        <f>'11.F&amp;V Crop Production details'!E116</f>
        <v>0</v>
      </c>
      <c r="G47" s="245">
        <f>'11.F&amp;V Crop Production details'!F116</f>
        <v>0</v>
      </c>
      <c r="H47" s="245">
        <f>'11.F&amp;V Crop Production details'!G116</f>
        <v>0</v>
      </c>
      <c r="I47" s="245">
        <f>'11.F&amp;V Crop Production details'!H116</f>
        <v>0</v>
      </c>
    </row>
    <row r="48" spans="1:9">
      <c r="A48" s="95">
        <f>'11.F&amp;V Crop Production details'!A117</f>
        <v>0</v>
      </c>
      <c r="B48" s="199"/>
      <c r="C48" s="245">
        <f>'11.F&amp;V Crop Production details'!B117</f>
        <v>0</v>
      </c>
      <c r="D48" s="245">
        <f>'11.F&amp;V Crop Production details'!C117</f>
        <v>0</v>
      </c>
      <c r="E48" s="245">
        <f>'11.F&amp;V Crop Production details'!D117</f>
        <v>0</v>
      </c>
      <c r="F48" s="245">
        <f>'11.F&amp;V Crop Production details'!E117</f>
        <v>0</v>
      </c>
      <c r="G48" s="245">
        <f>'11.F&amp;V Crop Production details'!F117</f>
        <v>0</v>
      </c>
      <c r="H48" s="245">
        <f>'11.F&amp;V Crop Production details'!G117</f>
        <v>0</v>
      </c>
      <c r="I48" s="245">
        <f>'11.F&amp;V Crop Production details'!H117</f>
        <v>0</v>
      </c>
    </row>
    <row r="49" spans="1:9">
      <c r="A49" s="95">
        <f>'11.F&amp;V Crop Production details'!A118</f>
        <v>0</v>
      </c>
      <c r="B49" s="199"/>
      <c r="C49" s="245">
        <f>'11.F&amp;V Crop Production details'!B118</f>
        <v>0</v>
      </c>
      <c r="D49" s="245">
        <f>'11.F&amp;V Crop Production details'!C118</f>
        <v>0</v>
      </c>
      <c r="E49" s="245">
        <f>'11.F&amp;V Crop Production details'!D118</f>
        <v>0</v>
      </c>
      <c r="F49" s="245">
        <f>'11.F&amp;V Crop Production details'!E118</f>
        <v>0</v>
      </c>
      <c r="G49" s="245">
        <f>'11.F&amp;V Crop Production details'!F118</f>
        <v>0</v>
      </c>
      <c r="H49" s="245">
        <f>'11.F&amp;V Crop Production details'!G118</f>
        <v>0</v>
      </c>
      <c r="I49" s="245">
        <f>'11.F&amp;V Crop Production details'!H118</f>
        <v>0</v>
      </c>
    </row>
    <row r="50" spans="1:9">
      <c r="A50" s="95">
        <f>'11.F&amp;V Crop Production details'!A119</f>
        <v>0</v>
      </c>
      <c r="B50" s="199"/>
      <c r="C50" s="245">
        <f>'11.F&amp;V Crop Production details'!B119</f>
        <v>0</v>
      </c>
      <c r="D50" s="245">
        <f>'11.F&amp;V Crop Production details'!C119</f>
        <v>0</v>
      </c>
      <c r="E50" s="245">
        <f>'11.F&amp;V Crop Production details'!D119</f>
        <v>0</v>
      </c>
      <c r="F50" s="245">
        <f>'11.F&amp;V Crop Production details'!E119</f>
        <v>0</v>
      </c>
      <c r="G50" s="245">
        <f>'11.F&amp;V Crop Production details'!F119</f>
        <v>0</v>
      </c>
      <c r="H50" s="245">
        <f>'11.F&amp;V Crop Production details'!G119</f>
        <v>0</v>
      </c>
      <c r="I50" s="245">
        <f>'11.F&amp;V Crop Production details'!H119</f>
        <v>0</v>
      </c>
    </row>
    <row r="51" spans="1:9">
      <c r="A51" s="95">
        <f>'11.F&amp;V Crop Production details'!A120</f>
        <v>0</v>
      </c>
      <c r="B51" s="199"/>
      <c r="C51" s="245">
        <f>'11.F&amp;V Crop Production details'!B120</f>
        <v>0</v>
      </c>
      <c r="D51" s="245">
        <f>'11.F&amp;V Crop Production details'!C120</f>
        <v>0</v>
      </c>
      <c r="E51" s="245">
        <f>'11.F&amp;V Crop Production details'!D120</f>
        <v>0</v>
      </c>
      <c r="F51" s="245">
        <f>'11.F&amp;V Crop Production details'!E120</f>
        <v>0</v>
      </c>
      <c r="G51" s="245">
        <f>'11.F&amp;V Crop Production details'!F120</f>
        <v>0</v>
      </c>
      <c r="H51" s="245">
        <f>'11.F&amp;V Crop Production details'!G120</f>
        <v>0</v>
      </c>
      <c r="I51" s="245">
        <f>'11.F&amp;V Crop Production details'!H120</f>
        <v>0</v>
      </c>
    </row>
    <row r="52" spans="1:9">
      <c r="A52" s="95">
        <f>'11.F&amp;V Crop Production details'!A121</f>
        <v>0</v>
      </c>
      <c r="B52" s="199"/>
      <c r="C52" s="245">
        <f>'11.F&amp;V Crop Production details'!B121</f>
        <v>0</v>
      </c>
      <c r="D52" s="245">
        <f>'11.F&amp;V Crop Production details'!C121</f>
        <v>0</v>
      </c>
      <c r="E52" s="245">
        <f>'11.F&amp;V Crop Production details'!D121</f>
        <v>0</v>
      </c>
      <c r="F52" s="245">
        <f>'11.F&amp;V Crop Production details'!E121</f>
        <v>0</v>
      </c>
      <c r="G52" s="245">
        <f>'11.F&amp;V Crop Production details'!F121</f>
        <v>0</v>
      </c>
      <c r="H52" s="245">
        <f>'11.F&amp;V Crop Production details'!G121</f>
        <v>0</v>
      </c>
      <c r="I52" s="245">
        <f>'11.F&amp;V Crop Production details'!H121</f>
        <v>0</v>
      </c>
    </row>
    <row r="53" spans="1:9">
      <c r="A53" s="95">
        <f>'11.F&amp;V Crop Production details'!A122</f>
        <v>0</v>
      </c>
      <c r="B53" s="199"/>
      <c r="C53" s="245">
        <f>'11.F&amp;V Crop Production details'!B122</f>
        <v>0</v>
      </c>
      <c r="D53" s="245">
        <f>'11.F&amp;V Crop Production details'!C122</f>
        <v>0</v>
      </c>
      <c r="E53" s="245">
        <f>'11.F&amp;V Crop Production details'!D122</f>
        <v>0</v>
      </c>
      <c r="F53" s="245">
        <f>'11.F&amp;V Crop Production details'!E122</f>
        <v>0</v>
      </c>
      <c r="G53" s="245">
        <f>'11.F&amp;V Crop Production details'!F122</f>
        <v>0</v>
      </c>
      <c r="H53" s="245">
        <f>'11.F&amp;V Crop Production details'!G122</f>
        <v>0</v>
      </c>
      <c r="I53" s="245">
        <f>'11.F&amp;V Crop Production details'!H122</f>
        <v>0</v>
      </c>
    </row>
    <row r="54" spans="1:9">
      <c r="A54" s="95" t="str">
        <f>'11.F&amp;V Crop Production details'!A123</f>
        <v>Pomegranate</v>
      </c>
      <c r="B54" s="199"/>
      <c r="C54" s="245">
        <f>'11.F&amp;V Crop Production details'!B123</f>
        <v>0</v>
      </c>
      <c r="D54" s="245">
        <f>'11.F&amp;V Crop Production details'!C123</f>
        <v>0</v>
      </c>
      <c r="E54" s="245">
        <f>'11.F&amp;V Crop Production details'!D123</f>
        <v>0</v>
      </c>
      <c r="F54" s="245">
        <f>'11.F&amp;V Crop Production details'!E123</f>
        <v>0</v>
      </c>
      <c r="G54" s="245">
        <f>'11.F&amp;V Crop Production details'!F123</f>
        <v>0</v>
      </c>
      <c r="H54" s="245">
        <f>'11.F&amp;V Crop Production details'!G123</f>
        <v>0</v>
      </c>
      <c r="I54" s="245">
        <f>'11.F&amp;V Crop Production details'!H123</f>
        <v>0</v>
      </c>
    </row>
    <row r="55" spans="1:9">
      <c r="A55" s="95" t="str">
        <f>'11.F&amp;V Crop Production details'!A124</f>
        <v>Custard Apple</v>
      </c>
      <c r="B55" s="199"/>
      <c r="C55" s="245">
        <f>'11.F&amp;V Crop Production details'!B124</f>
        <v>0</v>
      </c>
      <c r="D55" s="245">
        <f>'11.F&amp;V Crop Production details'!C124</f>
        <v>0</v>
      </c>
      <c r="E55" s="245">
        <f>'11.F&amp;V Crop Production details'!D124</f>
        <v>0</v>
      </c>
      <c r="F55" s="245">
        <f>'11.F&amp;V Crop Production details'!E124</f>
        <v>0</v>
      </c>
      <c r="G55" s="245">
        <f>'11.F&amp;V Crop Production details'!F124</f>
        <v>0</v>
      </c>
      <c r="H55" s="245">
        <f>'11.F&amp;V Crop Production details'!G124</f>
        <v>0</v>
      </c>
      <c r="I55" s="245">
        <f>'11.F&amp;V Crop Production details'!H124</f>
        <v>0</v>
      </c>
    </row>
    <row r="56" spans="1:9">
      <c r="A56" s="95" t="str">
        <f>'11.F&amp;V Crop Production details'!A125</f>
        <v>Guava</v>
      </c>
      <c r="B56" s="199"/>
      <c r="C56" s="245">
        <f>'11.F&amp;V Crop Production details'!B125</f>
        <v>0</v>
      </c>
      <c r="D56" s="245">
        <f>'11.F&amp;V Crop Production details'!C125</f>
        <v>0</v>
      </c>
      <c r="E56" s="245">
        <f>'11.F&amp;V Crop Production details'!D125</f>
        <v>0</v>
      </c>
      <c r="F56" s="245">
        <f>'11.F&amp;V Crop Production details'!E125</f>
        <v>0</v>
      </c>
      <c r="G56" s="245">
        <f>'11.F&amp;V Crop Production details'!F125</f>
        <v>0</v>
      </c>
      <c r="H56" s="245">
        <f>'11.F&amp;V Crop Production details'!G125</f>
        <v>0</v>
      </c>
      <c r="I56" s="245">
        <f>'11.F&amp;V Crop Production details'!H125</f>
        <v>0</v>
      </c>
    </row>
    <row r="57" spans="1:9">
      <c r="A57" s="95" t="str">
        <f>'11.F&amp;V Crop Production details'!A126</f>
        <v>Citrus</v>
      </c>
      <c r="B57" s="199"/>
      <c r="C57" s="245">
        <f>'11.F&amp;V Crop Production details'!B126</f>
        <v>0</v>
      </c>
      <c r="D57" s="245">
        <f>'11.F&amp;V Crop Production details'!C126</f>
        <v>0</v>
      </c>
      <c r="E57" s="245">
        <f>'11.F&amp;V Crop Production details'!D126</f>
        <v>0</v>
      </c>
      <c r="F57" s="245">
        <f>'11.F&amp;V Crop Production details'!E126</f>
        <v>0</v>
      </c>
      <c r="G57" s="245">
        <f>'11.F&amp;V Crop Production details'!F126</f>
        <v>0</v>
      </c>
      <c r="H57" s="245">
        <f>'11.F&amp;V Crop Production details'!G126</f>
        <v>0</v>
      </c>
      <c r="I57" s="245">
        <f>'11.F&amp;V Crop Production details'!H126</f>
        <v>0</v>
      </c>
    </row>
    <row r="58" spans="1:9">
      <c r="A58" s="95"/>
      <c r="B58" s="199"/>
      <c r="C58" s="199"/>
      <c r="D58" s="199"/>
      <c r="E58" s="199"/>
      <c r="F58" s="199"/>
      <c r="G58" s="199"/>
      <c r="H58" s="199"/>
      <c r="I58" s="199"/>
    </row>
    <row r="59" spans="1:9">
      <c r="A59" s="97" t="s">
        <v>183</v>
      </c>
      <c r="B59" s="95"/>
      <c r="C59" s="95"/>
      <c r="D59" s="95"/>
      <c r="E59" s="95"/>
      <c r="F59" s="95"/>
      <c r="G59" s="95"/>
      <c r="H59" s="95"/>
      <c r="I59" s="95"/>
    </row>
    <row r="60" spans="1:9" ht="40.5" customHeight="1">
      <c r="A60" s="97" t="s">
        <v>693</v>
      </c>
      <c r="B60" s="370" t="s">
        <v>694</v>
      </c>
      <c r="C60" s="95"/>
      <c r="D60" s="95"/>
      <c r="E60" s="95"/>
      <c r="F60" s="95"/>
      <c r="G60" s="95"/>
      <c r="H60" s="95"/>
      <c r="I60" s="95"/>
    </row>
    <row r="61" spans="1:9">
      <c r="A61" s="97" t="str">
        <f t="shared" ref="A61:A92" si="0">A8</f>
        <v>Kharif Crops</v>
      </c>
      <c r="B61" s="95"/>
      <c r="C61" s="95"/>
      <c r="D61" s="95"/>
      <c r="E61" s="95"/>
      <c r="F61" s="95"/>
      <c r="G61" s="95"/>
      <c r="H61" s="95"/>
      <c r="I61" s="95"/>
    </row>
    <row r="62" spans="1:9">
      <c r="A62" s="95" t="str">
        <f t="shared" si="0"/>
        <v>Soybean</v>
      </c>
      <c r="B62" s="224">
        <v>40</v>
      </c>
      <c r="C62" s="200">
        <f>$B62*C9</f>
        <v>0</v>
      </c>
      <c r="D62" s="200">
        <f>$B62*D9</f>
        <v>0</v>
      </c>
      <c r="E62" s="200">
        <f t="shared" ref="E62:I62" si="1">$B62*E9</f>
        <v>0</v>
      </c>
      <c r="F62" s="200">
        <f t="shared" si="1"/>
        <v>0</v>
      </c>
      <c r="G62" s="200">
        <f t="shared" si="1"/>
        <v>0</v>
      </c>
      <c r="H62" s="200">
        <f t="shared" si="1"/>
        <v>0</v>
      </c>
      <c r="I62" s="200">
        <f t="shared" si="1"/>
        <v>0</v>
      </c>
    </row>
    <row r="63" spans="1:9">
      <c r="A63" s="95" t="str">
        <f t="shared" si="0"/>
        <v>Red Gram/Tur</v>
      </c>
      <c r="B63" s="224">
        <v>5</v>
      </c>
      <c r="C63" s="200">
        <f>$B63*C10</f>
        <v>0</v>
      </c>
      <c r="D63" s="200">
        <f t="shared" ref="D63:I63" si="2">$B$63*D10</f>
        <v>0</v>
      </c>
      <c r="E63" s="200">
        <f t="shared" si="2"/>
        <v>0</v>
      </c>
      <c r="F63" s="200">
        <f t="shared" si="2"/>
        <v>0</v>
      </c>
      <c r="G63" s="200">
        <f t="shared" si="2"/>
        <v>0</v>
      </c>
      <c r="H63" s="200">
        <f t="shared" si="2"/>
        <v>0</v>
      </c>
      <c r="I63" s="200">
        <f t="shared" si="2"/>
        <v>0</v>
      </c>
    </row>
    <row r="64" spans="1:9">
      <c r="A64" s="95" t="str">
        <f t="shared" si="0"/>
        <v>Paddy/Rice</v>
      </c>
      <c r="B64" s="224">
        <v>15</v>
      </c>
      <c r="C64" s="200">
        <f>$B64*C11</f>
        <v>0</v>
      </c>
      <c r="D64" s="200">
        <f t="shared" ref="D64:I64" si="3">$B$64*D11</f>
        <v>0</v>
      </c>
      <c r="E64" s="200">
        <f t="shared" si="3"/>
        <v>0</v>
      </c>
      <c r="F64" s="200">
        <f t="shared" si="3"/>
        <v>0</v>
      </c>
      <c r="G64" s="200">
        <f t="shared" si="3"/>
        <v>0</v>
      </c>
      <c r="H64" s="200">
        <f t="shared" si="3"/>
        <v>0</v>
      </c>
      <c r="I64" s="200">
        <f t="shared" si="3"/>
        <v>0</v>
      </c>
    </row>
    <row r="65" spans="1:9">
      <c r="A65" s="95" t="str">
        <f t="shared" si="0"/>
        <v>Green Gram/ Moong</v>
      </c>
      <c r="B65" s="224">
        <v>15</v>
      </c>
      <c r="C65" s="200">
        <f>$B65*C12</f>
        <v>0</v>
      </c>
      <c r="D65" s="200">
        <f t="shared" ref="D65:I67" si="4">$B65*D12</f>
        <v>0</v>
      </c>
      <c r="E65" s="200">
        <f t="shared" si="4"/>
        <v>0</v>
      </c>
      <c r="F65" s="200">
        <f t="shared" si="4"/>
        <v>0</v>
      </c>
      <c r="G65" s="200">
        <f t="shared" si="4"/>
        <v>0</v>
      </c>
      <c r="H65" s="200">
        <f t="shared" si="4"/>
        <v>0</v>
      </c>
      <c r="I65" s="200">
        <f t="shared" si="4"/>
        <v>0</v>
      </c>
    </row>
    <row r="66" spans="1:9">
      <c r="A66" s="95" t="str">
        <f t="shared" si="0"/>
        <v>Maize</v>
      </c>
      <c r="B66" s="224">
        <v>25</v>
      </c>
      <c r="C66" s="200">
        <f>$B66*C13</f>
        <v>0</v>
      </c>
      <c r="D66" s="200">
        <f t="shared" si="4"/>
        <v>0</v>
      </c>
      <c r="E66" s="200">
        <f t="shared" si="4"/>
        <v>0</v>
      </c>
      <c r="F66" s="200">
        <f t="shared" si="4"/>
        <v>0</v>
      </c>
      <c r="G66" s="200">
        <f t="shared" si="4"/>
        <v>0</v>
      </c>
      <c r="H66" s="200">
        <f t="shared" si="4"/>
        <v>0</v>
      </c>
      <c r="I66" s="200">
        <f t="shared" si="4"/>
        <v>0</v>
      </c>
    </row>
    <row r="67" spans="1:9">
      <c r="A67" s="95" t="str">
        <f t="shared" si="0"/>
        <v>Black Gram/Udid</v>
      </c>
      <c r="B67" s="224">
        <v>15</v>
      </c>
      <c r="C67" s="200">
        <f>$B67*C14</f>
        <v>0</v>
      </c>
      <c r="D67" s="200">
        <f t="shared" si="4"/>
        <v>0</v>
      </c>
      <c r="E67" s="200">
        <f t="shared" si="4"/>
        <v>0</v>
      </c>
      <c r="F67" s="200">
        <f t="shared" si="4"/>
        <v>0</v>
      </c>
      <c r="G67" s="200">
        <f t="shared" si="4"/>
        <v>0</v>
      </c>
      <c r="H67" s="200">
        <f t="shared" si="4"/>
        <v>0</v>
      </c>
      <c r="I67" s="200">
        <f t="shared" si="4"/>
        <v>0</v>
      </c>
    </row>
    <row r="68" spans="1:9">
      <c r="A68" s="95" t="str">
        <f t="shared" si="0"/>
        <v>Bajra</v>
      </c>
      <c r="B68" s="224">
        <v>5</v>
      </c>
      <c r="C68" s="200">
        <f t="shared" ref="C68:I68" si="5">$B68*C15</f>
        <v>0</v>
      </c>
      <c r="D68" s="200">
        <f t="shared" si="5"/>
        <v>0</v>
      </c>
      <c r="E68" s="200">
        <f t="shared" si="5"/>
        <v>0</v>
      </c>
      <c r="F68" s="200">
        <f t="shared" si="5"/>
        <v>0</v>
      </c>
      <c r="G68" s="200">
        <f t="shared" si="5"/>
        <v>0</v>
      </c>
      <c r="H68" s="200">
        <f t="shared" si="5"/>
        <v>0</v>
      </c>
      <c r="I68" s="200">
        <f t="shared" si="5"/>
        <v>0</v>
      </c>
    </row>
    <row r="69" spans="1:9">
      <c r="A69" s="95" t="str">
        <f t="shared" si="0"/>
        <v>Jawar</v>
      </c>
      <c r="B69" s="224">
        <v>5</v>
      </c>
      <c r="C69" s="200">
        <f t="shared" ref="C69:I69" si="6">$B69*C16</f>
        <v>0</v>
      </c>
      <c r="D69" s="200">
        <f t="shared" si="6"/>
        <v>0</v>
      </c>
      <c r="E69" s="200">
        <f t="shared" si="6"/>
        <v>0</v>
      </c>
      <c r="F69" s="200">
        <f t="shared" si="6"/>
        <v>0</v>
      </c>
      <c r="G69" s="200">
        <f t="shared" si="6"/>
        <v>0</v>
      </c>
      <c r="H69" s="200">
        <f t="shared" si="6"/>
        <v>0</v>
      </c>
      <c r="I69" s="200">
        <f t="shared" si="6"/>
        <v>0</v>
      </c>
    </row>
    <row r="70" spans="1:9">
      <c r="A70" s="97" t="str">
        <f t="shared" si="0"/>
        <v>Rabi Crop</v>
      </c>
      <c r="B70" s="224"/>
      <c r="C70" s="200"/>
      <c r="D70" s="200"/>
      <c r="E70" s="200"/>
      <c r="F70" s="200"/>
      <c r="G70" s="200"/>
      <c r="H70" s="200"/>
      <c r="I70" s="200"/>
    </row>
    <row r="71" spans="1:9">
      <c r="A71" s="95" t="str">
        <f t="shared" si="0"/>
        <v>Wheat</v>
      </c>
      <c r="B71" s="224">
        <v>20</v>
      </c>
      <c r="C71" s="200">
        <f t="shared" ref="C71:I71" si="7">$B71*C18</f>
        <v>0</v>
      </c>
      <c r="D71" s="200">
        <f t="shared" si="7"/>
        <v>0</v>
      </c>
      <c r="E71" s="200">
        <f t="shared" si="7"/>
        <v>0</v>
      </c>
      <c r="F71" s="200">
        <f t="shared" si="7"/>
        <v>0</v>
      </c>
      <c r="G71" s="200">
        <f t="shared" si="7"/>
        <v>0</v>
      </c>
      <c r="H71" s="200">
        <f t="shared" si="7"/>
        <v>0</v>
      </c>
      <c r="I71" s="200">
        <f t="shared" si="7"/>
        <v>0</v>
      </c>
    </row>
    <row r="72" spans="1:9">
      <c r="A72" s="95" t="str">
        <f t="shared" si="0"/>
        <v>Bengal Gram/Channa</v>
      </c>
      <c r="B72" s="224">
        <v>25</v>
      </c>
      <c r="C72" s="200">
        <f t="shared" ref="C72:I72" si="8">$B72*C19</f>
        <v>0</v>
      </c>
      <c r="D72" s="200">
        <f t="shared" si="8"/>
        <v>0</v>
      </c>
      <c r="E72" s="200">
        <f t="shared" si="8"/>
        <v>0</v>
      </c>
      <c r="F72" s="200">
        <f t="shared" si="8"/>
        <v>0</v>
      </c>
      <c r="G72" s="200">
        <f t="shared" si="8"/>
        <v>0</v>
      </c>
      <c r="H72" s="200">
        <f t="shared" si="8"/>
        <v>0</v>
      </c>
      <c r="I72" s="200">
        <f t="shared" si="8"/>
        <v>0</v>
      </c>
    </row>
    <row r="73" spans="1:9">
      <c r="A73" s="95" t="str">
        <f t="shared" si="0"/>
        <v>Jawar</v>
      </c>
      <c r="B73" s="224">
        <v>5</v>
      </c>
      <c r="C73" s="200">
        <f t="shared" ref="C73:I73" si="9">$B73*C20</f>
        <v>0</v>
      </c>
      <c r="D73" s="200">
        <f t="shared" si="9"/>
        <v>0</v>
      </c>
      <c r="E73" s="200">
        <f t="shared" si="9"/>
        <v>0</v>
      </c>
      <c r="F73" s="200">
        <f t="shared" si="9"/>
        <v>0</v>
      </c>
      <c r="G73" s="200">
        <f t="shared" si="9"/>
        <v>0</v>
      </c>
      <c r="H73" s="200">
        <f t="shared" si="9"/>
        <v>0</v>
      </c>
      <c r="I73" s="200">
        <f t="shared" si="9"/>
        <v>0</v>
      </c>
    </row>
    <row r="74" spans="1:9">
      <c r="A74" s="95" t="str">
        <f t="shared" si="0"/>
        <v>Maize</v>
      </c>
      <c r="B74" s="224">
        <v>20</v>
      </c>
      <c r="C74" s="200">
        <f t="shared" ref="C74:I74" si="10">$B74*C21</f>
        <v>0</v>
      </c>
      <c r="D74" s="200">
        <f t="shared" si="10"/>
        <v>0</v>
      </c>
      <c r="E74" s="200">
        <f t="shared" si="10"/>
        <v>0</v>
      </c>
      <c r="F74" s="200">
        <f t="shared" si="10"/>
        <v>0</v>
      </c>
      <c r="G74" s="200">
        <f t="shared" si="10"/>
        <v>0</v>
      </c>
      <c r="H74" s="200">
        <f t="shared" si="10"/>
        <v>0</v>
      </c>
      <c r="I74" s="200">
        <f t="shared" si="10"/>
        <v>0</v>
      </c>
    </row>
    <row r="75" spans="1:9">
      <c r="A75" s="95" t="str">
        <f t="shared" si="0"/>
        <v>Safflower</v>
      </c>
      <c r="B75" s="224"/>
      <c r="C75" s="200">
        <f t="shared" ref="C75:I75" si="11">$B75*C22</f>
        <v>0</v>
      </c>
      <c r="D75" s="200">
        <f t="shared" si="11"/>
        <v>0</v>
      </c>
      <c r="E75" s="200">
        <f t="shared" si="11"/>
        <v>0</v>
      </c>
      <c r="F75" s="200">
        <f t="shared" si="11"/>
        <v>0</v>
      </c>
      <c r="G75" s="200">
        <f t="shared" si="11"/>
        <v>0</v>
      </c>
      <c r="H75" s="200">
        <f t="shared" si="11"/>
        <v>0</v>
      </c>
      <c r="I75" s="200">
        <f t="shared" si="11"/>
        <v>0</v>
      </c>
    </row>
    <row r="76" spans="1:9">
      <c r="A76" s="95">
        <f t="shared" si="0"/>
        <v>0</v>
      </c>
      <c r="B76" s="224"/>
      <c r="C76" s="200">
        <f t="shared" ref="C76:I76" si="12">$B76*C23</f>
        <v>0</v>
      </c>
      <c r="D76" s="200">
        <f t="shared" si="12"/>
        <v>0</v>
      </c>
      <c r="E76" s="200">
        <f t="shared" si="12"/>
        <v>0</v>
      </c>
      <c r="F76" s="200">
        <f t="shared" si="12"/>
        <v>0</v>
      </c>
      <c r="G76" s="200">
        <f t="shared" si="12"/>
        <v>0</v>
      </c>
      <c r="H76" s="200">
        <f t="shared" si="12"/>
        <v>0</v>
      </c>
      <c r="I76" s="200">
        <f t="shared" si="12"/>
        <v>0</v>
      </c>
    </row>
    <row r="77" spans="1:9">
      <c r="A77" s="95">
        <f t="shared" si="0"/>
        <v>0</v>
      </c>
      <c r="B77" s="224"/>
      <c r="C77" s="200">
        <f t="shared" ref="C77:I77" si="13">$B77*C24</f>
        <v>0</v>
      </c>
      <c r="D77" s="200">
        <f t="shared" si="13"/>
        <v>0</v>
      </c>
      <c r="E77" s="200">
        <f t="shared" si="13"/>
        <v>0</v>
      </c>
      <c r="F77" s="200">
        <f t="shared" si="13"/>
        <v>0</v>
      </c>
      <c r="G77" s="200">
        <f t="shared" si="13"/>
        <v>0</v>
      </c>
      <c r="H77" s="200">
        <f t="shared" si="13"/>
        <v>0</v>
      </c>
      <c r="I77" s="200">
        <f t="shared" si="13"/>
        <v>0</v>
      </c>
    </row>
    <row r="78" spans="1:9">
      <c r="A78" s="95">
        <f t="shared" si="0"/>
        <v>0</v>
      </c>
      <c r="B78" s="224"/>
      <c r="C78" s="200">
        <f t="shared" ref="C78:I78" si="14">$B78*C25</f>
        <v>0</v>
      </c>
      <c r="D78" s="200">
        <f t="shared" si="14"/>
        <v>0</v>
      </c>
      <c r="E78" s="200">
        <f t="shared" si="14"/>
        <v>0</v>
      </c>
      <c r="F78" s="200">
        <f t="shared" si="14"/>
        <v>0</v>
      </c>
      <c r="G78" s="200">
        <f t="shared" si="14"/>
        <v>0</v>
      </c>
      <c r="H78" s="200">
        <f t="shared" si="14"/>
        <v>0</v>
      </c>
      <c r="I78" s="200">
        <f t="shared" si="14"/>
        <v>0</v>
      </c>
    </row>
    <row r="79" spans="1:9">
      <c r="A79" s="97" t="str">
        <f t="shared" si="0"/>
        <v>Summer</v>
      </c>
      <c r="B79" s="224"/>
      <c r="C79" s="200"/>
      <c r="D79" s="200"/>
      <c r="E79" s="200"/>
      <c r="F79" s="200"/>
      <c r="G79" s="200"/>
      <c r="H79" s="200"/>
      <c r="I79" s="200"/>
    </row>
    <row r="80" spans="1:9">
      <c r="A80" s="95" t="str">
        <f t="shared" si="0"/>
        <v>Groundnut</v>
      </c>
      <c r="B80" s="224"/>
      <c r="C80" s="200">
        <f t="shared" ref="C80:I80" si="15">$B80*C27</f>
        <v>0</v>
      </c>
      <c r="D80" s="200">
        <f t="shared" si="15"/>
        <v>0</v>
      </c>
      <c r="E80" s="200">
        <f t="shared" si="15"/>
        <v>0</v>
      </c>
      <c r="F80" s="200">
        <f t="shared" si="15"/>
        <v>0</v>
      </c>
      <c r="G80" s="200">
        <f t="shared" si="15"/>
        <v>0</v>
      </c>
      <c r="H80" s="200">
        <f t="shared" si="15"/>
        <v>0</v>
      </c>
      <c r="I80" s="200">
        <f t="shared" si="15"/>
        <v>0</v>
      </c>
    </row>
    <row r="81" spans="1:9">
      <c r="A81" s="95">
        <f t="shared" si="0"/>
        <v>0</v>
      </c>
      <c r="B81" s="224"/>
      <c r="C81" s="200">
        <f t="shared" ref="C81:I81" si="16">$B81*C28</f>
        <v>0</v>
      </c>
      <c r="D81" s="200">
        <f t="shared" si="16"/>
        <v>0</v>
      </c>
      <c r="E81" s="200">
        <f t="shared" si="16"/>
        <v>0</v>
      </c>
      <c r="F81" s="200">
        <f t="shared" si="16"/>
        <v>0</v>
      </c>
      <c r="G81" s="200">
        <f t="shared" si="16"/>
        <v>0</v>
      </c>
      <c r="H81" s="200">
        <f t="shared" si="16"/>
        <v>0</v>
      </c>
      <c r="I81" s="200">
        <f t="shared" si="16"/>
        <v>0</v>
      </c>
    </row>
    <row r="82" spans="1:9">
      <c r="A82" s="95">
        <f t="shared" si="0"/>
        <v>0</v>
      </c>
      <c r="B82" s="224"/>
      <c r="C82" s="200">
        <f t="shared" ref="C82:I82" si="17">$B82*C29</f>
        <v>0</v>
      </c>
      <c r="D82" s="200">
        <f t="shared" si="17"/>
        <v>0</v>
      </c>
      <c r="E82" s="200">
        <f t="shared" si="17"/>
        <v>0</v>
      </c>
      <c r="F82" s="200">
        <f t="shared" si="17"/>
        <v>0</v>
      </c>
      <c r="G82" s="200">
        <f t="shared" si="17"/>
        <v>0</v>
      </c>
      <c r="H82" s="200">
        <f t="shared" si="17"/>
        <v>0</v>
      </c>
      <c r="I82" s="200">
        <f t="shared" si="17"/>
        <v>0</v>
      </c>
    </row>
    <row r="83" spans="1:9">
      <c r="A83" s="95">
        <f t="shared" si="0"/>
        <v>0</v>
      </c>
      <c r="B83" s="224"/>
      <c r="C83" s="200">
        <f t="shared" ref="C83:I83" si="18">$B83*C30</f>
        <v>0</v>
      </c>
      <c r="D83" s="200">
        <f t="shared" si="18"/>
        <v>0</v>
      </c>
      <c r="E83" s="200">
        <f t="shared" si="18"/>
        <v>0</v>
      </c>
      <c r="F83" s="200">
        <f t="shared" si="18"/>
        <v>0</v>
      </c>
      <c r="G83" s="200">
        <f t="shared" si="18"/>
        <v>0</v>
      </c>
      <c r="H83" s="200">
        <f t="shared" si="18"/>
        <v>0</v>
      </c>
      <c r="I83" s="200">
        <f t="shared" si="18"/>
        <v>0</v>
      </c>
    </row>
    <row r="84" spans="1:9">
      <c r="A84" s="95">
        <f t="shared" si="0"/>
        <v>0</v>
      </c>
      <c r="B84" s="224"/>
      <c r="C84" s="200">
        <f t="shared" ref="C84:I84" si="19">$B84*C31</f>
        <v>0</v>
      </c>
      <c r="D84" s="200">
        <f t="shared" si="19"/>
        <v>0</v>
      </c>
      <c r="E84" s="200">
        <f t="shared" si="19"/>
        <v>0</v>
      </c>
      <c r="F84" s="200">
        <f t="shared" si="19"/>
        <v>0</v>
      </c>
      <c r="G84" s="200">
        <f t="shared" si="19"/>
        <v>0</v>
      </c>
      <c r="H84" s="200">
        <f t="shared" si="19"/>
        <v>0</v>
      </c>
      <c r="I84" s="200">
        <f t="shared" si="19"/>
        <v>0</v>
      </c>
    </row>
    <row r="85" spans="1:9">
      <c r="A85" s="97" t="str">
        <f t="shared" si="0"/>
        <v>Fruit  &amp; Vegetables Crop Production Details</v>
      </c>
      <c r="B85" s="224"/>
      <c r="C85" s="200"/>
      <c r="D85" s="200"/>
      <c r="E85" s="200"/>
      <c r="F85" s="200"/>
      <c r="G85" s="200"/>
      <c r="H85" s="200"/>
      <c r="I85" s="200"/>
    </row>
    <row r="86" spans="1:9">
      <c r="A86" s="95" t="str">
        <f t="shared" si="0"/>
        <v>Onion</v>
      </c>
      <c r="B86" s="224"/>
      <c r="C86" s="200">
        <f t="shared" ref="C86:I86" si="20">$B86*C33</f>
        <v>0</v>
      </c>
      <c r="D86" s="200">
        <f t="shared" si="20"/>
        <v>0</v>
      </c>
      <c r="E86" s="200">
        <f t="shared" si="20"/>
        <v>0</v>
      </c>
      <c r="F86" s="200">
        <f t="shared" si="20"/>
        <v>0</v>
      </c>
      <c r="G86" s="200">
        <f t="shared" si="20"/>
        <v>0</v>
      </c>
      <c r="H86" s="200">
        <f t="shared" si="20"/>
        <v>0</v>
      </c>
      <c r="I86" s="200">
        <f t="shared" si="20"/>
        <v>0</v>
      </c>
    </row>
    <row r="87" spans="1:9">
      <c r="A87" s="95" t="str">
        <f t="shared" si="0"/>
        <v>Tomato</v>
      </c>
      <c r="B87" s="224"/>
      <c r="C87" s="200">
        <f t="shared" ref="C87:I87" si="21">$B87*C34</f>
        <v>0</v>
      </c>
      <c r="D87" s="200">
        <f t="shared" si="21"/>
        <v>0</v>
      </c>
      <c r="E87" s="200">
        <f t="shared" si="21"/>
        <v>0</v>
      </c>
      <c r="F87" s="200">
        <f t="shared" si="21"/>
        <v>0</v>
      </c>
      <c r="G87" s="200">
        <f t="shared" si="21"/>
        <v>0</v>
      </c>
      <c r="H87" s="200">
        <f t="shared" si="21"/>
        <v>0</v>
      </c>
      <c r="I87" s="200">
        <f t="shared" si="21"/>
        <v>0</v>
      </c>
    </row>
    <row r="88" spans="1:9">
      <c r="A88" s="95" t="str">
        <f t="shared" si="0"/>
        <v>Okra</v>
      </c>
      <c r="B88" s="224"/>
      <c r="C88" s="200">
        <f t="shared" ref="C88:I88" si="22">$B88*C35</f>
        <v>0</v>
      </c>
      <c r="D88" s="200">
        <f t="shared" si="22"/>
        <v>0</v>
      </c>
      <c r="E88" s="200">
        <f t="shared" si="22"/>
        <v>0</v>
      </c>
      <c r="F88" s="200">
        <f t="shared" si="22"/>
        <v>0</v>
      </c>
      <c r="G88" s="200">
        <f t="shared" si="22"/>
        <v>0</v>
      </c>
      <c r="H88" s="200">
        <f t="shared" si="22"/>
        <v>0</v>
      </c>
      <c r="I88" s="200">
        <f t="shared" si="22"/>
        <v>0</v>
      </c>
    </row>
    <row r="89" spans="1:9">
      <c r="A89" s="95" t="str">
        <f t="shared" si="0"/>
        <v>Chilli</v>
      </c>
      <c r="B89" s="224"/>
      <c r="C89" s="200">
        <f t="shared" ref="C89:I89" si="23">$B89*C36</f>
        <v>0</v>
      </c>
      <c r="D89" s="200">
        <f t="shared" si="23"/>
        <v>0</v>
      </c>
      <c r="E89" s="200">
        <f t="shared" si="23"/>
        <v>0</v>
      </c>
      <c r="F89" s="200">
        <f t="shared" si="23"/>
        <v>0</v>
      </c>
      <c r="G89" s="200">
        <f t="shared" si="23"/>
        <v>0</v>
      </c>
      <c r="H89" s="200">
        <f t="shared" si="23"/>
        <v>0</v>
      </c>
      <c r="I89" s="200">
        <f t="shared" si="23"/>
        <v>0</v>
      </c>
    </row>
    <row r="90" spans="1:9">
      <c r="A90" s="95" t="str">
        <f t="shared" si="0"/>
        <v>Potato</v>
      </c>
      <c r="B90" s="224"/>
      <c r="C90" s="200">
        <f t="shared" ref="C90:I90" si="24">$B90*C37</f>
        <v>0</v>
      </c>
      <c r="D90" s="200">
        <f t="shared" si="24"/>
        <v>0</v>
      </c>
      <c r="E90" s="200">
        <f t="shared" si="24"/>
        <v>0</v>
      </c>
      <c r="F90" s="200">
        <f t="shared" si="24"/>
        <v>0</v>
      </c>
      <c r="G90" s="200">
        <f t="shared" si="24"/>
        <v>0</v>
      </c>
      <c r="H90" s="200">
        <f t="shared" si="24"/>
        <v>0</v>
      </c>
      <c r="I90" s="200">
        <f t="shared" si="24"/>
        <v>0</v>
      </c>
    </row>
    <row r="91" spans="1:9">
      <c r="A91" s="95">
        <f t="shared" si="0"/>
        <v>0</v>
      </c>
      <c r="B91" s="224"/>
      <c r="C91" s="200">
        <f t="shared" ref="C91:I91" si="25">$B91*C38</f>
        <v>0</v>
      </c>
      <c r="D91" s="200">
        <f t="shared" si="25"/>
        <v>0</v>
      </c>
      <c r="E91" s="200">
        <f t="shared" si="25"/>
        <v>0</v>
      </c>
      <c r="F91" s="200">
        <f t="shared" si="25"/>
        <v>0</v>
      </c>
      <c r="G91" s="200">
        <f t="shared" si="25"/>
        <v>0</v>
      </c>
      <c r="H91" s="200">
        <f t="shared" si="25"/>
        <v>0</v>
      </c>
      <c r="I91" s="200">
        <f t="shared" si="25"/>
        <v>0</v>
      </c>
    </row>
    <row r="92" spans="1:9">
      <c r="A92" s="95">
        <f t="shared" si="0"/>
        <v>0</v>
      </c>
      <c r="B92" s="224"/>
      <c r="C92" s="200">
        <f t="shared" ref="C92:I92" si="26">$B92*C39</f>
        <v>0</v>
      </c>
      <c r="D92" s="200">
        <f t="shared" si="26"/>
        <v>0</v>
      </c>
      <c r="E92" s="200">
        <f t="shared" si="26"/>
        <v>0</v>
      </c>
      <c r="F92" s="200">
        <f t="shared" si="26"/>
        <v>0</v>
      </c>
      <c r="G92" s="200">
        <f t="shared" si="26"/>
        <v>0</v>
      </c>
      <c r="H92" s="200">
        <f t="shared" si="26"/>
        <v>0</v>
      </c>
      <c r="I92" s="200">
        <f t="shared" si="26"/>
        <v>0</v>
      </c>
    </row>
    <row r="93" spans="1:9">
      <c r="A93" s="95">
        <f t="shared" ref="A93:A110" si="27">A40</f>
        <v>0</v>
      </c>
      <c r="B93" s="224"/>
      <c r="C93" s="200">
        <f t="shared" ref="C93:I93" si="28">$B93*C40</f>
        <v>0</v>
      </c>
      <c r="D93" s="200">
        <f t="shared" si="28"/>
        <v>0</v>
      </c>
      <c r="E93" s="200">
        <f t="shared" si="28"/>
        <v>0</v>
      </c>
      <c r="F93" s="200">
        <f t="shared" si="28"/>
        <v>0</v>
      </c>
      <c r="G93" s="200">
        <f t="shared" si="28"/>
        <v>0</v>
      </c>
      <c r="H93" s="200">
        <f t="shared" si="28"/>
        <v>0</v>
      </c>
      <c r="I93" s="200">
        <f t="shared" si="28"/>
        <v>0</v>
      </c>
    </row>
    <row r="94" spans="1:9">
      <c r="A94" s="95">
        <f t="shared" si="27"/>
        <v>0</v>
      </c>
      <c r="B94" s="224"/>
      <c r="C94" s="200">
        <f t="shared" ref="C94:I94" si="29">$B94*C41</f>
        <v>0</v>
      </c>
      <c r="D94" s="200">
        <f t="shared" si="29"/>
        <v>0</v>
      </c>
      <c r="E94" s="200">
        <f t="shared" si="29"/>
        <v>0</v>
      </c>
      <c r="F94" s="200">
        <f t="shared" si="29"/>
        <v>0</v>
      </c>
      <c r="G94" s="200">
        <f t="shared" si="29"/>
        <v>0</v>
      </c>
      <c r="H94" s="200">
        <f t="shared" si="29"/>
        <v>0</v>
      </c>
      <c r="I94" s="200">
        <f t="shared" si="29"/>
        <v>0</v>
      </c>
    </row>
    <row r="95" spans="1:9">
      <c r="A95" s="95" t="str">
        <f t="shared" si="27"/>
        <v>Onion</v>
      </c>
      <c r="B95" s="224"/>
      <c r="C95" s="200">
        <f t="shared" ref="C95:I95" si="30">$B95*C42</f>
        <v>0</v>
      </c>
      <c r="D95" s="200">
        <f t="shared" si="30"/>
        <v>0</v>
      </c>
      <c r="E95" s="200">
        <f t="shared" si="30"/>
        <v>0</v>
      </c>
      <c r="F95" s="200">
        <f t="shared" si="30"/>
        <v>0</v>
      </c>
      <c r="G95" s="200">
        <f t="shared" si="30"/>
        <v>0</v>
      </c>
      <c r="H95" s="200">
        <f t="shared" si="30"/>
        <v>0</v>
      </c>
      <c r="I95" s="200">
        <f t="shared" si="30"/>
        <v>0</v>
      </c>
    </row>
    <row r="96" spans="1:9">
      <c r="A96" s="95" t="str">
        <f t="shared" si="27"/>
        <v>Tomato</v>
      </c>
      <c r="B96" s="224"/>
      <c r="C96" s="200">
        <f t="shared" ref="C96:I96" si="31">$B96*C43</f>
        <v>0</v>
      </c>
      <c r="D96" s="200">
        <f t="shared" si="31"/>
        <v>0</v>
      </c>
      <c r="E96" s="200">
        <f t="shared" si="31"/>
        <v>0</v>
      </c>
      <c r="F96" s="200">
        <f t="shared" si="31"/>
        <v>0</v>
      </c>
      <c r="G96" s="200">
        <f t="shared" si="31"/>
        <v>0</v>
      </c>
      <c r="H96" s="200">
        <f t="shared" si="31"/>
        <v>0</v>
      </c>
      <c r="I96" s="200">
        <f t="shared" si="31"/>
        <v>0</v>
      </c>
    </row>
    <row r="97" spans="1:9">
      <c r="A97" s="95" t="str">
        <f t="shared" si="27"/>
        <v>Okra</v>
      </c>
      <c r="B97" s="224"/>
      <c r="C97" s="200">
        <f t="shared" ref="C97:I97" si="32">$B97*C44</f>
        <v>0</v>
      </c>
      <c r="D97" s="200">
        <f t="shared" si="32"/>
        <v>0</v>
      </c>
      <c r="E97" s="200">
        <f t="shared" si="32"/>
        <v>0</v>
      </c>
      <c r="F97" s="200">
        <f t="shared" si="32"/>
        <v>0</v>
      </c>
      <c r="G97" s="200">
        <f t="shared" si="32"/>
        <v>0</v>
      </c>
      <c r="H97" s="200">
        <f t="shared" si="32"/>
        <v>0</v>
      </c>
      <c r="I97" s="200">
        <f t="shared" si="32"/>
        <v>0</v>
      </c>
    </row>
    <row r="98" spans="1:9">
      <c r="A98" s="95" t="str">
        <f t="shared" si="27"/>
        <v>Chilli</v>
      </c>
      <c r="B98" s="224"/>
      <c r="C98" s="200">
        <f t="shared" ref="C98:I98" si="33">$B98*C45</f>
        <v>0</v>
      </c>
      <c r="D98" s="200">
        <f t="shared" si="33"/>
        <v>0</v>
      </c>
      <c r="E98" s="200">
        <f t="shared" si="33"/>
        <v>0</v>
      </c>
      <c r="F98" s="200">
        <f t="shared" si="33"/>
        <v>0</v>
      </c>
      <c r="G98" s="200">
        <f t="shared" si="33"/>
        <v>0</v>
      </c>
      <c r="H98" s="200">
        <f t="shared" si="33"/>
        <v>0</v>
      </c>
      <c r="I98" s="200">
        <f t="shared" si="33"/>
        <v>0</v>
      </c>
    </row>
    <row r="99" spans="1:9">
      <c r="A99" s="95" t="str">
        <f t="shared" si="27"/>
        <v>Brinjal</v>
      </c>
      <c r="B99" s="224"/>
      <c r="C99" s="200">
        <f t="shared" ref="C99:I99" si="34">$B99*C46</f>
        <v>0</v>
      </c>
      <c r="D99" s="200">
        <f t="shared" si="34"/>
        <v>0</v>
      </c>
      <c r="E99" s="200">
        <f t="shared" si="34"/>
        <v>0</v>
      </c>
      <c r="F99" s="200">
        <f t="shared" si="34"/>
        <v>0</v>
      </c>
      <c r="G99" s="200">
        <f t="shared" si="34"/>
        <v>0</v>
      </c>
      <c r="H99" s="200">
        <f t="shared" si="34"/>
        <v>0</v>
      </c>
      <c r="I99" s="200">
        <f t="shared" si="34"/>
        <v>0</v>
      </c>
    </row>
    <row r="100" spans="1:9">
      <c r="A100" s="95">
        <f t="shared" si="27"/>
        <v>0</v>
      </c>
      <c r="B100" s="224"/>
      <c r="C100" s="200">
        <f t="shared" ref="C100:I100" si="35">$B100*C47</f>
        <v>0</v>
      </c>
      <c r="D100" s="200">
        <f t="shared" si="35"/>
        <v>0</v>
      </c>
      <c r="E100" s="200">
        <f t="shared" si="35"/>
        <v>0</v>
      </c>
      <c r="F100" s="200">
        <f t="shared" si="35"/>
        <v>0</v>
      </c>
      <c r="G100" s="200">
        <f t="shared" si="35"/>
        <v>0</v>
      </c>
      <c r="H100" s="200">
        <f t="shared" si="35"/>
        <v>0</v>
      </c>
      <c r="I100" s="200">
        <f t="shared" si="35"/>
        <v>0</v>
      </c>
    </row>
    <row r="101" spans="1:9">
      <c r="A101" s="95">
        <f t="shared" si="27"/>
        <v>0</v>
      </c>
      <c r="B101" s="224"/>
      <c r="C101" s="200">
        <f t="shared" ref="C101:I101" si="36">$B101*C48</f>
        <v>0</v>
      </c>
      <c r="D101" s="200">
        <f t="shared" si="36"/>
        <v>0</v>
      </c>
      <c r="E101" s="200">
        <f t="shared" si="36"/>
        <v>0</v>
      </c>
      <c r="F101" s="200">
        <f t="shared" si="36"/>
        <v>0</v>
      </c>
      <c r="G101" s="200">
        <f t="shared" si="36"/>
        <v>0</v>
      </c>
      <c r="H101" s="200">
        <f t="shared" si="36"/>
        <v>0</v>
      </c>
      <c r="I101" s="200">
        <f t="shared" si="36"/>
        <v>0</v>
      </c>
    </row>
    <row r="102" spans="1:9">
      <c r="A102" s="95">
        <f t="shared" si="27"/>
        <v>0</v>
      </c>
      <c r="B102" s="224"/>
      <c r="C102" s="200">
        <f t="shared" ref="C102:I102" si="37">$B102*C49</f>
        <v>0</v>
      </c>
      <c r="D102" s="200">
        <f t="shared" si="37"/>
        <v>0</v>
      </c>
      <c r="E102" s="200">
        <f t="shared" si="37"/>
        <v>0</v>
      </c>
      <c r="F102" s="200">
        <f t="shared" si="37"/>
        <v>0</v>
      </c>
      <c r="G102" s="200">
        <f t="shared" si="37"/>
        <v>0</v>
      </c>
      <c r="H102" s="200">
        <f t="shared" si="37"/>
        <v>0</v>
      </c>
      <c r="I102" s="200">
        <f t="shared" si="37"/>
        <v>0</v>
      </c>
    </row>
    <row r="103" spans="1:9">
      <c r="A103" s="95">
        <f t="shared" si="27"/>
        <v>0</v>
      </c>
      <c r="B103" s="224"/>
      <c r="C103" s="200">
        <f t="shared" ref="C103:I103" si="38">$B103*C50</f>
        <v>0</v>
      </c>
      <c r="D103" s="200">
        <f t="shared" si="38"/>
        <v>0</v>
      </c>
      <c r="E103" s="200">
        <f t="shared" si="38"/>
        <v>0</v>
      </c>
      <c r="F103" s="200">
        <f t="shared" si="38"/>
        <v>0</v>
      </c>
      <c r="G103" s="200">
        <f t="shared" si="38"/>
        <v>0</v>
      </c>
      <c r="H103" s="200">
        <f t="shared" si="38"/>
        <v>0</v>
      </c>
      <c r="I103" s="200">
        <f t="shared" si="38"/>
        <v>0</v>
      </c>
    </row>
    <row r="104" spans="1:9">
      <c r="A104" s="95">
        <f t="shared" si="27"/>
        <v>0</v>
      </c>
      <c r="B104" s="224"/>
      <c r="C104" s="200">
        <f t="shared" ref="C104:I104" si="39">$B104*C51</f>
        <v>0</v>
      </c>
      <c r="D104" s="200">
        <f t="shared" si="39"/>
        <v>0</v>
      </c>
      <c r="E104" s="200">
        <f t="shared" si="39"/>
        <v>0</v>
      </c>
      <c r="F104" s="200">
        <f t="shared" si="39"/>
        <v>0</v>
      </c>
      <c r="G104" s="200">
        <f t="shared" si="39"/>
        <v>0</v>
      </c>
      <c r="H104" s="200">
        <f t="shared" si="39"/>
        <v>0</v>
      </c>
      <c r="I104" s="200">
        <f t="shared" si="39"/>
        <v>0</v>
      </c>
    </row>
    <row r="105" spans="1:9">
      <c r="A105" s="95">
        <f t="shared" si="27"/>
        <v>0</v>
      </c>
      <c r="B105" s="224"/>
      <c r="C105" s="200">
        <f t="shared" ref="C105:I105" si="40">$B105*C52</f>
        <v>0</v>
      </c>
      <c r="D105" s="200">
        <f t="shared" si="40"/>
        <v>0</v>
      </c>
      <c r="E105" s="200">
        <f t="shared" si="40"/>
        <v>0</v>
      </c>
      <c r="F105" s="200">
        <f t="shared" si="40"/>
        <v>0</v>
      </c>
      <c r="G105" s="200">
        <f t="shared" si="40"/>
        <v>0</v>
      </c>
      <c r="H105" s="200">
        <f t="shared" si="40"/>
        <v>0</v>
      </c>
      <c r="I105" s="200">
        <f t="shared" si="40"/>
        <v>0</v>
      </c>
    </row>
    <row r="106" spans="1:9">
      <c r="A106" s="95">
        <f t="shared" si="27"/>
        <v>0</v>
      </c>
      <c r="B106" s="224"/>
      <c r="C106" s="200">
        <f t="shared" ref="C106:I106" si="41">$B106*C53</f>
        <v>0</v>
      </c>
      <c r="D106" s="200">
        <f t="shared" si="41"/>
        <v>0</v>
      </c>
      <c r="E106" s="200">
        <f t="shared" si="41"/>
        <v>0</v>
      </c>
      <c r="F106" s="200">
        <f t="shared" si="41"/>
        <v>0</v>
      </c>
      <c r="G106" s="200">
        <f t="shared" si="41"/>
        <v>0</v>
      </c>
      <c r="H106" s="200">
        <f t="shared" si="41"/>
        <v>0</v>
      </c>
      <c r="I106" s="200">
        <f t="shared" si="41"/>
        <v>0</v>
      </c>
    </row>
    <row r="107" spans="1:9">
      <c r="A107" s="95" t="str">
        <f t="shared" si="27"/>
        <v>Pomegranate</v>
      </c>
      <c r="B107" s="224"/>
      <c r="C107" s="200">
        <f t="shared" ref="C107:I107" si="42">$B107*C54</f>
        <v>0</v>
      </c>
      <c r="D107" s="200">
        <f t="shared" si="42"/>
        <v>0</v>
      </c>
      <c r="E107" s="200">
        <f t="shared" si="42"/>
        <v>0</v>
      </c>
      <c r="F107" s="200">
        <f t="shared" si="42"/>
        <v>0</v>
      </c>
      <c r="G107" s="200">
        <f t="shared" si="42"/>
        <v>0</v>
      </c>
      <c r="H107" s="200">
        <f t="shared" si="42"/>
        <v>0</v>
      </c>
      <c r="I107" s="200">
        <f t="shared" si="42"/>
        <v>0</v>
      </c>
    </row>
    <row r="108" spans="1:9">
      <c r="A108" s="95" t="str">
        <f t="shared" si="27"/>
        <v>Custard Apple</v>
      </c>
      <c r="B108" s="224"/>
      <c r="C108" s="200">
        <f t="shared" ref="C108:I108" si="43">$B108*C55</f>
        <v>0</v>
      </c>
      <c r="D108" s="200">
        <f t="shared" si="43"/>
        <v>0</v>
      </c>
      <c r="E108" s="200">
        <f t="shared" si="43"/>
        <v>0</v>
      </c>
      <c r="F108" s="200">
        <f t="shared" si="43"/>
        <v>0</v>
      </c>
      <c r="G108" s="200">
        <f t="shared" si="43"/>
        <v>0</v>
      </c>
      <c r="H108" s="200">
        <f t="shared" si="43"/>
        <v>0</v>
      </c>
      <c r="I108" s="200">
        <f t="shared" si="43"/>
        <v>0</v>
      </c>
    </row>
    <row r="109" spans="1:9">
      <c r="A109" s="95" t="str">
        <f t="shared" si="27"/>
        <v>Guava</v>
      </c>
      <c r="B109" s="224"/>
      <c r="C109" s="200">
        <f t="shared" ref="C109:I109" si="44">$B109*C56</f>
        <v>0</v>
      </c>
      <c r="D109" s="200">
        <f t="shared" si="44"/>
        <v>0</v>
      </c>
      <c r="E109" s="200">
        <f t="shared" si="44"/>
        <v>0</v>
      </c>
      <c r="F109" s="200">
        <f t="shared" si="44"/>
        <v>0</v>
      </c>
      <c r="G109" s="200">
        <f t="shared" si="44"/>
        <v>0</v>
      </c>
      <c r="H109" s="200">
        <f t="shared" si="44"/>
        <v>0</v>
      </c>
      <c r="I109" s="200">
        <f t="shared" si="44"/>
        <v>0</v>
      </c>
    </row>
    <row r="110" spans="1:9">
      <c r="A110" s="95" t="str">
        <f t="shared" si="27"/>
        <v>Citrus</v>
      </c>
      <c r="B110" s="224"/>
      <c r="C110" s="200">
        <f t="shared" ref="C110:I110" si="45">$B110*C57</f>
        <v>0</v>
      </c>
      <c r="D110" s="200">
        <f t="shared" si="45"/>
        <v>0</v>
      </c>
      <c r="E110" s="200">
        <f t="shared" si="45"/>
        <v>0</v>
      </c>
      <c r="F110" s="200">
        <f t="shared" si="45"/>
        <v>0</v>
      </c>
      <c r="G110" s="200">
        <f t="shared" si="45"/>
        <v>0</v>
      </c>
      <c r="H110" s="200">
        <f t="shared" si="45"/>
        <v>0</v>
      </c>
      <c r="I110" s="200">
        <f t="shared" si="45"/>
        <v>0</v>
      </c>
    </row>
    <row r="111" spans="1:9">
      <c r="A111" s="95"/>
      <c r="B111" s="224"/>
      <c r="C111" s="200"/>
      <c r="D111" s="200"/>
      <c r="E111" s="200"/>
      <c r="F111" s="200"/>
      <c r="G111" s="200"/>
      <c r="H111" s="200"/>
      <c r="I111" s="200"/>
    </row>
    <row r="112" spans="1:9">
      <c r="A112" s="95"/>
      <c r="B112" s="224"/>
      <c r="C112" s="200"/>
      <c r="D112" s="200"/>
      <c r="E112" s="200"/>
      <c r="F112" s="200"/>
      <c r="G112" s="200"/>
      <c r="H112" s="200"/>
      <c r="I112" s="200"/>
    </row>
    <row r="113" spans="1:23">
      <c r="A113" s="97" t="s">
        <v>696</v>
      </c>
      <c r="B113" s="95" t="s">
        <v>695</v>
      </c>
      <c r="C113" s="95"/>
      <c r="D113" s="95"/>
      <c r="E113" s="95"/>
      <c r="F113" s="95"/>
      <c r="G113" s="95"/>
      <c r="H113" s="95"/>
      <c r="I113" s="95"/>
    </row>
    <row r="114" spans="1:23">
      <c r="A114" s="95" t="s">
        <v>397</v>
      </c>
      <c r="B114" s="224">
        <v>100</v>
      </c>
      <c r="C114" s="200">
        <f>SUM(C62:C110)*$B$114</f>
        <v>0</v>
      </c>
      <c r="D114" s="200">
        <f t="shared" ref="D114:I114" si="46">SUM(D62:D110)*$B$114</f>
        <v>0</v>
      </c>
      <c r="E114" s="200">
        <f t="shared" si="46"/>
        <v>0</v>
      </c>
      <c r="F114" s="200">
        <f t="shared" si="46"/>
        <v>0</v>
      </c>
      <c r="G114" s="200">
        <f t="shared" si="46"/>
        <v>0</v>
      </c>
      <c r="H114" s="200">
        <f t="shared" si="46"/>
        <v>0</v>
      </c>
      <c r="I114" s="200">
        <f t="shared" si="46"/>
        <v>0</v>
      </c>
    </row>
    <row r="115" spans="1:23">
      <c r="A115" s="95" t="s">
        <v>179</v>
      </c>
      <c r="B115" s="224">
        <v>30</v>
      </c>
      <c r="C115" s="200">
        <f>SUM(C62:C110)*$B$115</f>
        <v>0</v>
      </c>
      <c r="D115" s="200">
        <f t="shared" ref="D115:I115" si="47">SUM(D62:D110)*$B$115</f>
        <v>0</v>
      </c>
      <c r="E115" s="200">
        <f t="shared" si="47"/>
        <v>0</v>
      </c>
      <c r="F115" s="200">
        <f t="shared" si="47"/>
        <v>0</v>
      </c>
      <c r="G115" s="200">
        <f t="shared" si="47"/>
        <v>0</v>
      </c>
      <c r="H115" s="200">
        <f t="shared" si="47"/>
        <v>0</v>
      </c>
      <c r="I115" s="200">
        <f t="shared" si="47"/>
        <v>0</v>
      </c>
    </row>
    <row r="116" spans="1:23">
      <c r="A116" s="95" t="s">
        <v>181</v>
      </c>
      <c r="B116" s="224">
        <v>30</v>
      </c>
      <c r="C116" s="200">
        <f>SUM(C62:C110)*$B$116</f>
        <v>0</v>
      </c>
      <c r="D116" s="200">
        <f t="shared" ref="D116:I116" si="48">SUM(D62:D110)*$B$116</f>
        <v>0</v>
      </c>
      <c r="E116" s="200">
        <f t="shared" si="48"/>
        <v>0</v>
      </c>
      <c r="F116" s="200">
        <f t="shared" si="48"/>
        <v>0</v>
      </c>
      <c r="G116" s="200">
        <f t="shared" si="48"/>
        <v>0</v>
      </c>
      <c r="H116" s="200">
        <f t="shared" si="48"/>
        <v>0</v>
      </c>
      <c r="I116" s="200">
        <f t="shared" si="48"/>
        <v>0</v>
      </c>
    </row>
    <row r="117" spans="1:23">
      <c r="A117" s="97" t="s">
        <v>697</v>
      </c>
      <c r="B117" s="224"/>
      <c r="C117" s="95"/>
      <c r="D117" s="95"/>
      <c r="E117" s="95"/>
      <c r="F117" s="95"/>
      <c r="G117" s="95"/>
      <c r="H117" s="95"/>
      <c r="I117" s="95"/>
    </row>
    <row r="118" spans="1:23">
      <c r="A118" s="95" t="s">
        <v>184</v>
      </c>
      <c r="B118" s="224">
        <v>0.2</v>
      </c>
      <c r="C118" s="200">
        <f>SUM(C62:C110)*$B$118</f>
        <v>0</v>
      </c>
      <c r="D118" s="200">
        <f t="shared" ref="D118:I118" si="49">SUM(D62:D110)*$B$118</f>
        <v>0</v>
      </c>
      <c r="E118" s="200">
        <f t="shared" si="49"/>
        <v>0</v>
      </c>
      <c r="F118" s="200">
        <f t="shared" si="49"/>
        <v>0</v>
      </c>
      <c r="G118" s="200">
        <f t="shared" si="49"/>
        <v>0</v>
      </c>
      <c r="H118" s="200">
        <f t="shared" si="49"/>
        <v>0</v>
      </c>
      <c r="I118" s="200">
        <f t="shared" si="49"/>
        <v>0</v>
      </c>
    </row>
    <row r="119" spans="1:23">
      <c r="A119" s="95" t="s">
        <v>185</v>
      </c>
      <c r="B119" s="224">
        <v>0.5</v>
      </c>
      <c r="C119" s="200">
        <f>SUM(C62:C110)*$B$119</f>
        <v>0</v>
      </c>
      <c r="D119" s="200">
        <f t="shared" ref="D119:I119" si="50">SUM(D62:D110)*$B$119</f>
        <v>0</v>
      </c>
      <c r="E119" s="200">
        <f t="shared" si="50"/>
        <v>0</v>
      </c>
      <c r="F119" s="200">
        <f t="shared" si="50"/>
        <v>0</v>
      </c>
      <c r="G119" s="200">
        <f t="shared" si="50"/>
        <v>0</v>
      </c>
      <c r="H119" s="200">
        <f t="shared" si="50"/>
        <v>0</v>
      </c>
      <c r="I119" s="200">
        <f t="shared" si="50"/>
        <v>0</v>
      </c>
    </row>
    <row r="122" spans="1:23" ht="17.5">
      <c r="A122" s="473" t="s">
        <v>589</v>
      </c>
      <c r="B122" s="473"/>
      <c r="C122" s="473"/>
      <c r="D122" s="473"/>
      <c r="E122" s="473"/>
      <c r="F122" s="473"/>
      <c r="G122" s="473"/>
      <c r="H122" s="473"/>
      <c r="I122" s="473"/>
      <c r="J122" s="473"/>
    </row>
    <row r="123" spans="1:23">
      <c r="A123" s="31"/>
      <c r="B123" s="62"/>
      <c r="C123" s="31"/>
      <c r="D123" s="31"/>
      <c r="E123" s="31"/>
      <c r="F123" s="31"/>
      <c r="G123" s="31"/>
      <c r="H123" s="31"/>
    </row>
    <row r="124" spans="1:23">
      <c r="A124" s="188"/>
      <c r="B124" s="188"/>
      <c r="C124" s="188"/>
      <c r="D124" s="189">
        <v>1</v>
      </c>
      <c r="E124" s="190">
        <f>(D124*5%)+D124</f>
        <v>1.05</v>
      </c>
      <c r="F124" s="190">
        <f t="shared" ref="F124:J124" si="51">(E124*5%)+E124</f>
        <v>1.1025</v>
      </c>
      <c r="G124" s="190">
        <f t="shared" si="51"/>
        <v>1.1576250000000001</v>
      </c>
      <c r="H124" s="190">
        <f t="shared" si="51"/>
        <v>1.2155062500000002</v>
      </c>
      <c r="I124" s="190">
        <f t="shared" si="51"/>
        <v>1.2762815625000004</v>
      </c>
      <c r="J124" s="190">
        <f t="shared" si="51"/>
        <v>1.3400956406250004</v>
      </c>
      <c r="K124" s="90"/>
      <c r="U124" s="90"/>
      <c r="V124" s="90"/>
      <c r="W124" s="90"/>
    </row>
    <row r="125" spans="1:23">
      <c r="A125" s="90"/>
      <c r="B125" s="90"/>
      <c r="C125" s="90"/>
      <c r="D125" s="90"/>
      <c r="E125" s="90"/>
      <c r="F125" s="90"/>
      <c r="G125" s="90"/>
      <c r="H125" s="90"/>
      <c r="I125" s="90"/>
      <c r="J125" s="90"/>
      <c r="K125" s="90"/>
      <c r="U125" s="90"/>
      <c r="V125" s="90"/>
      <c r="W125" s="90"/>
    </row>
    <row r="126" spans="1:23">
      <c r="A126" s="144" t="s">
        <v>0</v>
      </c>
      <c r="B126" s="144" t="s">
        <v>133</v>
      </c>
      <c r="C126" s="144" t="s">
        <v>153</v>
      </c>
      <c r="D126" s="116" t="s">
        <v>2</v>
      </c>
      <c r="E126" s="116" t="s">
        <v>3</v>
      </c>
      <c r="F126" s="116" t="s">
        <v>4</v>
      </c>
      <c r="G126" s="116" t="s">
        <v>5</v>
      </c>
      <c r="H126" s="116" t="s">
        <v>6</v>
      </c>
      <c r="I126" s="116" t="s">
        <v>169</v>
      </c>
      <c r="J126" s="116" t="s">
        <v>168</v>
      </c>
      <c r="K126" s="90"/>
      <c r="U126" s="90"/>
      <c r="V126" s="90"/>
      <c r="W126" s="90"/>
    </row>
    <row r="127" spans="1:23">
      <c r="A127" s="93" t="s">
        <v>700</v>
      </c>
      <c r="B127" s="91"/>
      <c r="C127" s="91"/>
      <c r="D127" s="91"/>
      <c r="E127" s="91"/>
      <c r="F127" s="91"/>
      <c r="G127" s="91"/>
      <c r="H127" s="91"/>
      <c r="I127" s="91"/>
      <c r="J127" s="91"/>
      <c r="K127" s="90"/>
      <c r="U127" s="90"/>
      <c r="V127" s="90"/>
      <c r="W127" s="90"/>
    </row>
    <row r="128" spans="1:23">
      <c r="A128" s="91" t="s">
        <v>284</v>
      </c>
      <c r="B128" s="91"/>
      <c r="C128" s="91"/>
      <c r="D128" s="91"/>
      <c r="E128" s="91"/>
      <c r="F128" s="91"/>
      <c r="G128" s="91"/>
      <c r="H128" s="91"/>
      <c r="I128" s="91"/>
      <c r="J128" s="91"/>
      <c r="K128" s="90"/>
      <c r="U128" s="90"/>
      <c r="V128" s="90"/>
      <c r="W128" s="90"/>
    </row>
    <row r="129" spans="1:23">
      <c r="A129" s="93" t="str">
        <f t="shared" ref="A129:A160" si="52">A8</f>
        <v>Kharif Crops</v>
      </c>
      <c r="B129" s="91"/>
      <c r="C129" s="91" t="s">
        <v>698</v>
      </c>
      <c r="D129" s="91"/>
      <c r="E129" s="91"/>
      <c r="F129" s="91"/>
      <c r="G129" s="91"/>
      <c r="H129" s="91"/>
      <c r="I129" s="91"/>
      <c r="J129" s="91"/>
      <c r="K129" s="90"/>
      <c r="U129" s="90"/>
      <c r="V129" s="90"/>
      <c r="W129" s="90"/>
    </row>
    <row r="130" spans="1:23">
      <c r="A130" s="91" t="str">
        <f t="shared" si="52"/>
        <v>Soybean</v>
      </c>
      <c r="B130" s="91"/>
      <c r="C130" s="224"/>
      <c r="D130" s="92">
        <f>(C62*(1-'5.Closing Stock &amp; W Capital'!$D$15))*$C$130*D$124</f>
        <v>0</v>
      </c>
      <c r="E130" s="92">
        <f>((D62*(1-'5.Closing Stock &amp; W Capital'!$D$15))+(C62*'5.Closing Stock &amp; W Capital'!$D$15))*$C$130*E$124</f>
        <v>0</v>
      </c>
      <c r="F130" s="92">
        <f>((E62*(1-'5.Closing Stock &amp; W Capital'!$D$15))+(D62*'5.Closing Stock &amp; W Capital'!$D$15))*$C$130*F$124</f>
        <v>0</v>
      </c>
      <c r="G130" s="92">
        <f>((F62*(1-'5.Closing Stock &amp; W Capital'!$D$15))+(E62*'5.Closing Stock &amp; W Capital'!$D$15))*$C$130*G$124</f>
        <v>0</v>
      </c>
      <c r="H130" s="92">
        <f>((G62*(1-'5.Closing Stock &amp; W Capital'!$D$15))+(F62*'5.Closing Stock &amp; W Capital'!$D$15))*$C$130*H$124</f>
        <v>0</v>
      </c>
      <c r="I130" s="92">
        <f>((H62*(1-'5.Closing Stock &amp; W Capital'!$D$15))+(G62*'5.Closing Stock &amp; W Capital'!$D$15))*$C$130*I$124</f>
        <v>0</v>
      </c>
      <c r="J130" s="92">
        <f>((I62*(1-'5.Closing Stock &amp; W Capital'!$D$15))+(H62*'5.Closing Stock &amp; W Capital'!$D$15))*$C$130*J$124</f>
        <v>0</v>
      </c>
      <c r="K130" s="175"/>
      <c r="U130" s="90"/>
      <c r="V130" s="90"/>
      <c r="W130" s="90"/>
    </row>
    <row r="131" spans="1:23">
      <c r="A131" s="91" t="str">
        <f t="shared" si="52"/>
        <v>Red Gram/Tur</v>
      </c>
      <c r="B131" s="91"/>
      <c r="C131" s="244"/>
      <c r="D131" s="92">
        <f>(C63*(1-'5.Closing Stock &amp; W Capital'!$D$15))*$C$131*D$124</f>
        <v>0</v>
      </c>
      <c r="E131" s="92">
        <f>((D63*(1-'5.Closing Stock &amp; W Capital'!$D$15))+(C63*'5.Closing Stock &amp; W Capital'!$D$15))*$C$131*E$124</f>
        <v>0</v>
      </c>
      <c r="F131" s="92">
        <f>((E63*(1-'5.Closing Stock &amp; W Capital'!$D$15))+(D63*'5.Closing Stock &amp; W Capital'!$D$15))*$C$131*F$124</f>
        <v>0</v>
      </c>
      <c r="G131" s="92">
        <f>((F63*(1-'5.Closing Stock &amp; W Capital'!$D$15))+(E63*'5.Closing Stock &amp; W Capital'!$D$15))*$C$131*G124</f>
        <v>0</v>
      </c>
      <c r="H131" s="92">
        <f>((G63*(1-'5.Closing Stock &amp; W Capital'!$D$15))+(F63*'5.Closing Stock &amp; W Capital'!$D$15))*$C$131*H124</f>
        <v>0</v>
      </c>
      <c r="I131" s="92">
        <f>((H63*(1-'5.Closing Stock &amp; W Capital'!$D$15))+(G63*'5.Closing Stock &amp; W Capital'!$D$15))*$C$131*I124</f>
        <v>0</v>
      </c>
      <c r="J131" s="92">
        <f>((I63*(1-'5.Closing Stock &amp; W Capital'!$D$15))+(H63*'5.Closing Stock &amp; W Capital'!$D$15))*$C$131*J124</f>
        <v>0</v>
      </c>
      <c r="K131" s="90"/>
      <c r="U131" s="175"/>
      <c r="V131" s="90"/>
      <c r="W131" s="90"/>
    </row>
    <row r="132" spans="1:23">
      <c r="A132" s="91" t="str">
        <f t="shared" si="52"/>
        <v>Paddy/Rice</v>
      </c>
      <c r="B132" s="91"/>
      <c r="C132" s="244"/>
      <c r="D132" s="92">
        <f>(C64*(1-'5.Closing Stock &amp; W Capital'!$D$15))*$C$132*D$124</f>
        <v>0</v>
      </c>
      <c r="E132" s="92">
        <f>((D64*(1-'5.Closing Stock &amp; W Capital'!$D$15))+(C64*'5.Closing Stock &amp; W Capital'!$D$15))*$C$132*E$124</f>
        <v>0</v>
      </c>
      <c r="F132" s="92">
        <f>((E64*(1-'5.Closing Stock &amp; W Capital'!$D$15))+(D64*'5.Closing Stock &amp; W Capital'!$D$15))*$C$132*F$124</f>
        <v>0</v>
      </c>
      <c r="G132" s="92">
        <f>((F64*(1-'5.Closing Stock &amp; W Capital'!$D$15))+(E64*'5.Closing Stock &amp; W Capital'!$D$15))*$C$132*G124</f>
        <v>0</v>
      </c>
      <c r="H132" s="92">
        <f>((G64*(1-'5.Closing Stock &amp; W Capital'!$D$15))+(F64*'5.Closing Stock &amp; W Capital'!$D$15))*$C$132*H124</f>
        <v>0</v>
      </c>
      <c r="I132" s="92">
        <f>((H64*(1-'5.Closing Stock &amp; W Capital'!$D$15))+(G64*'5.Closing Stock &amp; W Capital'!$D$15))*$C$132*I124</f>
        <v>0</v>
      </c>
      <c r="J132" s="92">
        <f>((I64*(1-'5.Closing Stock &amp; W Capital'!$D$15))+(H64*'5.Closing Stock &amp; W Capital'!$D$15))*$C$132*J124</f>
        <v>0</v>
      </c>
      <c r="K132" s="90"/>
      <c r="U132" s="90"/>
      <c r="V132" s="90"/>
      <c r="W132" s="90"/>
    </row>
    <row r="133" spans="1:23">
      <c r="A133" s="91" t="str">
        <f t="shared" si="52"/>
        <v>Green Gram/ Moong</v>
      </c>
      <c r="B133" s="91"/>
      <c r="C133" s="244"/>
      <c r="D133" s="92">
        <f>(C65*(1-'5.Closing Stock &amp; W Capital'!$D$15))*$C$133*D$124</f>
        <v>0</v>
      </c>
      <c r="E133" s="92">
        <f>((D65*(1-'5.Closing Stock &amp; W Capital'!$D$15))+(C65*'5.Closing Stock &amp; W Capital'!$D$15))*$C$133*E$124</f>
        <v>0</v>
      </c>
      <c r="F133" s="92">
        <f>((E65*(1-'5.Closing Stock &amp; W Capital'!$D$15))+(D65*'5.Closing Stock &amp; W Capital'!$D$15))*$C$133*F$124</f>
        <v>0</v>
      </c>
      <c r="G133" s="92">
        <f>((F65*(1-'5.Closing Stock &amp; W Capital'!$D$15))+(E65*'5.Closing Stock &amp; W Capital'!$D$15))*$C$133*G$124</f>
        <v>0</v>
      </c>
      <c r="H133" s="92">
        <f>((G65*(1-'5.Closing Stock &amp; W Capital'!$D$15))+(F65*'5.Closing Stock &amp; W Capital'!$D$15))*$C$133*H$124</f>
        <v>0</v>
      </c>
      <c r="I133" s="92">
        <f>((H65*(1-'5.Closing Stock &amp; W Capital'!$D$15))+(G65*'5.Closing Stock &amp; W Capital'!$D$15))*$C$133*I$124</f>
        <v>0</v>
      </c>
      <c r="J133" s="92">
        <f>((I65*(1-'5.Closing Stock &amp; W Capital'!$D$15))+(H65*'5.Closing Stock &amp; W Capital'!$D$15))*$C$133*J$124</f>
        <v>0</v>
      </c>
      <c r="K133" s="90"/>
      <c r="U133" s="90"/>
      <c r="V133" s="90"/>
      <c r="W133" s="90"/>
    </row>
    <row r="134" spans="1:23">
      <c r="A134" s="91" t="str">
        <f t="shared" si="52"/>
        <v>Maize</v>
      </c>
      <c r="B134" s="91"/>
      <c r="C134" s="244"/>
      <c r="D134" s="92">
        <f>(C66*(1-'5.Closing Stock &amp; W Capital'!$D$15))*$C$134*D$124</f>
        <v>0</v>
      </c>
      <c r="E134" s="92">
        <f>((D66*(1-'5.Closing Stock &amp; W Capital'!$D$15))+(C66*'5.Closing Stock &amp; W Capital'!$D$15))*$C$135*E$124</f>
        <v>0</v>
      </c>
      <c r="F134" s="92">
        <f>((E66*(1-'5.Closing Stock &amp; W Capital'!$D$15))+(D66*'5.Closing Stock &amp; W Capital'!$D$15))*$C$135*F$124</f>
        <v>0</v>
      </c>
      <c r="G134" s="92">
        <f>((F66*(1-'5.Closing Stock &amp; W Capital'!$D$15))+(E66*'5.Closing Stock &amp; W Capital'!$D$15))*$C$135*G$124</f>
        <v>0</v>
      </c>
      <c r="H134" s="92">
        <f>((G66*(1-'5.Closing Stock &amp; W Capital'!$D$15))+(F66*'5.Closing Stock &amp; W Capital'!$D$15))*$C$135*H$124</f>
        <v>0</v>
      </c>
      <c r="I134" s="92">
        <f>((H66*(1-'5.Closing Stock &amp; W Capital'!$D$15))+(G66*'5.Closing Stock &amp; W Capital'!$D$15))*$C$135*I$124</f>
        <v>0</v>
      </c>
      <c r="J134" s="92">
        <f>((I66*(1-'5.Closing Stock &amp; W Capital'!$D$15))+(H66*'5.Closing Stock &amp; W Capital'!$D$15))*$C$135*J$124</f>
        <v>0</v>
      </c>
      <c r="K134" s="90"/>
      <c r="U134" s="90"/>
      <c r="V134" s="90"/>
      <c r="W134" s="90"/>
    </row>
    <row r="135" spans="1:23">
      <c r="A135" s="91" t="str">
        <f t="shared" si="52"/>
        <v>Black Gram/Udid</v>
      </c>
      <c r="B135" s="91"/>
      <c r="C135" s="244"/>
      <c r="D135" s="92">
        <f>(C67*(1-'5.Closing Stock &amp; W Capital'!$D$15))*$C$135*D$124</f>
        <v>0</v>
      </c>
      <c r="E135" s="92">
        <f>((D67*(1-'5.Closing Stock &amp; W Capital'!$D$15))+(C67*'5.Closing Stock &amp; W Capital'!$D$15))*$C$135*E$124</f>
        <v>0</v>
      </c>
      <c r="F135" s="92">
        <f>((E67*(1-'5.Closing Stock &amp; W Capital'!$D$15))+(D67*'5.Closing Stock &amp; W Capital'!$D$15))*$C$135*F$124</f>
        <v>0</v>
      </c>
      <c r="G135" s="92">
        <f>((F67*(1-'5.Closing Stock &amp; W Capital'!$D$15))+(E67*'5.Closing Stock &amp; W Capital'!$D$15))*$C$135*G$124</f>
        <v>0</v>
      </c>
      <c r="H135" s="92">
        <f>((G67*(1-'5.Closing Stock &amp; W Capital'!$D$15))+(F67*'5.Closing Stock &amp; W Capital'!$D$15))*$C$135*H$124</f>
        <v>0</v>
      </c>
      <c r="I135" s="92">
        <f>((H67*(1-'5.Closing Stock &amp; W Capital'!$D$15))+(G67*'5.Closing Stock &amp; W Capital'!$D$15))*$C$135*I$124</f>
        <v>0</v>
      </c>
      <c r="J135" s="92">
        <f>((I67*(1-'5.Closing Stock &amp; W Capital'!$D$15))+(H67*'5.Closing Stock &amp; W Capital'!$D$15))*$C$135*J$124</f>
        <v>0</v>
      </c>
      <c r="K135" s="90"/>
      <c r="U135" s="90"/>
      <c r="V135" s="90"/>
      <c r="W135" s="90"/>
    </row>
    <row r="136" spans="1:23">
      <c r="A136" s="91" t="str">
        <f t="shared" si="52"/>
        <v>Bajra</v>
      </c>
      <c r="B136" s="91"/>
      <c r="C136" s="244"/>
      <c r="D136" s="92">
        <f>(C68*(1-'5.Closing Stock &amp; W Capital'!$D$15))*$C$136*D$124</f>
        <v>0</v>
      </c>
      <c r="E136" s="92">
        <f>((D68*(1-'5.Closing Stock &amp; W Capital'!$D$15))+(C68*'5.Closing Stock &amp; W Capital'!$D$15))*$C$136*E$124</f>
        <v>0</v>
      </c>
      <c r="F136" s="92">
        <f>((E68*(1-'5.Closing Stock &amp; W Capital'!$D$15))+(D68*'5.Closing Stock &amp; W Capital'!$D$15))*$C$136*F$124</f>
        <v>0</v>
      </c>
      <c r="G136" s="92">
        <f>((F68*(1-'5.Closing Stock &amp; W Capital'!$D$15))+(E68*'5.Closing Stock &amp; W Capital'!$D$15))*$C$136*G$124</f>
        <v>0</v>
      </c>
      <c r="H136" s="92">
        <f>((G68*(1-'5.Closing Stock &amp; W Capital'!$D$15))+(F68*'5.Closing Stock &amp; W Capital'!$D$15))*$C$136*H$124</f>
        <v>0</v>
      </c>
      <c r="I136" s="92">
        <f>((H68*(1-'5.Closing Stock &amp; W Capital'!$D$15))+(G68*'5.Closing Stock &amp; W Capital'!$D$15))*$C$136*I$124</f>
        <v>0</v>
      </c>
      <c r="J136" s="92">
        <f>((I68*(1-'5.Closing Stock &amp; W Capital'!$D$15))+(H68*'5.Closing Stock &amp; W Capital'!$D$15))*$C$136*J$124</f>
        <v>0</v>
      </c>
      <c r="K136" s="90"/>
      <c r="U136" s="90"/>
      <c r="V136" s="90"/>
      <c r="W136" s="90"/>
    </row>
    <row r="137" spans="1:23">
      <c r="A137" s="91" t="str">
        <f t="shared" si="52"/>
        <v>Jawar</v>
      </c>
      <c r="B137" s="91"/>
      <c r="C137" s="244"/>
      <c r="D137" s="92">
        <f>(C69*(1-'5.Closing Stock &amp; W Capital'!$D$15))*$C$137*D$124</f>
        <v>0</v>
      </c>
      <c r="E137" s="92">
        <f>((D69*(1-'5.Closing Stock &amp; W Capital'!$D$15))+(C69*'5.Closing Stock &amp; W Capital'!$D$15))*$C$137*E$124</f>
        <v>0</v>
      </c>
      <c r="F137" s="92">
        <f>((E69*(1-'5.Closing Stock &amp; W Capital'!$D$15))+(D69*'5.Closing Stock &amp; W Capital'!$D$15))*$C$137*F$124</f>
        <v>0</v>
      </c>
      <c r="G137" s="92">
        <f>((F69*(1-'5.Closing Stock &amp; W Capital'!$D$15))+(E69*'5.Closing Stock &amp; W Capital'!$D$15))*$C$137*G$124</f>
        <v>0</v>
      </c>
      <c r="H137" s="92">
        <f>((G69*(1-'5.Closing Stock &amp; W Capital'!$D$15))+(F69*'5.Closing Stock &amp; W Capital'!$D$15))*$C$137*H$124</f>
        <v>0</v>
      </c>
      <c r="I137" s="92">
        <f>((H69*(1-'5.Closing Stock &amp; W Capital'!$D$15))+(G69*'5.Closing Stock &amp; W Capital'!$D$15))*$C$137*I$124</f>
        <v>0</v>
      </c>
      <c r="J137" s="92">
        <f>((I69*(1-'5.Closing Stock &amp; W Capital'!$D$15))+(H69*'5.Closing Stock &amp; W Capital'!$D$15))*$C$137*J$124</f>
        <v>0</v>
      </c>
      <c r="K137" s="90"/>
      <c r="U137" s="90"/>
      <c r="V137" s="90"/>
      <c r="W137" s="90"/>
    </row>
    <row r="138" spans="1:23">
      <c r="A138" s="93" t="str">
        <f t="shared" si="52"/>
        <v>Rabi Crop</v>
      </c>
      <c r="B138" s="91"/>
      <c r="C138" s="244"/>
      <c r="D138" s="92"/>
      <c r="E138" s="92"/>
      <c r="F138" s="92"/>
      <c r="G138" s="92"/>
      <c r="H138" s="92"/>
      <c r="I138" s="92"/>
      <c r="J138" s="92"/>
      <c r="K138" s="90"/>
      <c r="U138" s="90"/>
      <c r="V138" s="90"/>
      <c r="W138" s="90"/>
    </row>
    <row r="139" spans="1:23">
      <c r="A139" s="91" t="str">
        <f t="shared" si="52"/>
        <v>Wheat</v>
      </c>
      <c r="B139" s="91"/>
      <c r="C139" s="244"/>
      <c r="D139" s="92">
        <f>(C71*(1-'5.Closing Stock &amp; W Capital'!$D$15))*$C$139*D$124</f>
        <v>0</v>
      </c>
      <c r="E139" s="92">
        <f>((D71*(1-'5.Closing Stock &amp; W Capital'!$D$15))+(C71*'5.Closing Stock &amp; W Capital'!$D$15))*$C$139*E$124</f>
        <v>0</v>
      </c>
      <c r="F139" s="92">
        <f>((E71*(1-'5.Closing Stock &amp; W Capital'!$D$15))+(D71*'5.Closing Stock &amp; W Capital'!$D$15))*$C$139*F$124</f>
        <v>0</v>
      </c>
      <c r="G139" s="92">
        <f>((F71*(1-'5.Closing Stock &amp; W Capital'!$D$15))+(E71*'5.Closing Stock &amp; W Capital'!$D$15))*$C$139*G$124</f>
        <v>0</v>
      </c>
      <c r="H139" s="92">
        <f>((G71*(1-'5.Closing Stock &amp; W Capital'!$D$15))+(F71*'5.Closing Stock &amp; W Capital'!$D$15))*$C$139*H$124</f>
        <v>0</v>
      </c>
      <c r="I139" s="92">
        <f>((H71*(1-'5.Closing Stock &amp; W Capital'!$D$15))+(G71*'5.Closing Stock &amp; W Capital'!$D$15))*$C$139*I$124</f>
        <v>0</v>
      </c>
      <c r="J139" s="92">
        <f>((I71*(1-'5.Closing Stock &amp; W Capital'!$D$15))+(H71*'5.Closing Stock &amp; W Capital'!$D$15))*$C$139*J$124</f>
        <v>0</v>
      </c>
      <c r="K139" s="90"/>
      <c r="U139" s="90"/>
      <c r="V139" s="90"/>
      <c r="W139" s="90"/>
    </row>
    <row r="140" spans="1:23">
      <c r="A140" s="91" t="str">
        <f t="shared" si="52"/>
        <v>Bengal Gram/Channa</v>
      </c>
      <c r="B140" s="91"/>
      <c r="C140" s="244"/>
      <c r="D140" s="92">
        <f>(C72*(1-'5.Closing Stock &amp; W Capital'!$D$15))*$C$140*D$124</f>
        <v>0</v>
      </c>
      <c r="E140" s="92">
        <f>((D72*(1-'5.Closing Stock &amp; W Capital'!$D$15))+(C72*'5.Closing Stock &amp; W Capital'!$D$15))*$C$140*E$124</f>
        <v>0</v>
      </c>
      <c r="F140" s="92">
        <f>((E72*(1-'5.Closing Stock &amp; W Capital'!$D$15))+(D72*'5.Closing Stock &amp; W Capital'!$D$15))*$C$140*F$124</f>
        <v>0</v>
      </c>
      <c r="G140" s="92">
        <f>((F72*(1-'5.Closing Stock &amp; W Capital'!$D$15))+(E72*'5.Closing Stock &amp; W Capital'!$D$15))*$C$140*G$124</f>
        <v>0</v>
      </c>
      <c r="H140" s="92">
        <f>((G72*(1-'5.Closing Stock &amp; W Capital'!$D$15))+(F72*'5.Closing Stock &amp; W Capital'!$D$15))*$C$140*H$124</f>
        <v>0</v>
      </c>
      <c r="I140" s="92">
        <f>((H72*(1-'5.Closing Stock &amp; W Capital'!$D$15))+(G72*'5.Closing Stock &amp; W Capital'!$D$15))*$C$140*I$124</f>
        <v>0</v>
      </c>
      <c r="J140" s="92">
        <f>((I72*(1-'5.Closing Stock &amp; W Capital'!$D$15))+(H72*'5.Closing Stock &amp; W Capital'!$D$15))*$C$140*J$124</f>
        <v>0</v>
      </c>
      <c r="K140" s="90"/>
      <c r="U140" s="90"/>
      <c r="V140" s="90"/>
      <c r="W140" s="90"/>
    </row>
    <row r="141" spans="1:23">
      <c r="A141" s="91" t="str">
        <f t="shared" si="52"/>
        <v>Jawar</v>
      </c>
      <c r="B141" s="91"/>
      <c r="C141" s="244"/>
      <c r="D141" s="92">
        <f>(C73*(1-'5.Closing Stock &amp; W Capital'!$D$15))*$C$141*D$124</f>
        <v>0</v>
      </c>
      <c r="E141" s="92">
        <f>((D73*(1-'5.Closing Stock &amp; W Capital'!$D$15))+(C73*'5.Closing Stock &amp; W Capital'!$D$15))*$C$141*E$124</f>
        <v>0</v>
      </c>
      <c r="F141" s="92">
        <f>((E73*(1-'5.Closing Stock &amp; W Capital'!$D$15))+(D73*'5.Closing Stock &amp; W Capital'!$D$15))*$C$141*F$124</f>
        <v>0</v>
      </c>
      <c r="G141" s="92">
        <f>((F73*(1-'5.Closing Stock &amp; W Capital'!$D$15))+(E73*'5.Closing Stock &amp; W Capital'!$D$15))*$C$141*G$124</f>
        <v>0</v>
      </c>
      <c r="H141" s="92">
        <f>((G73*(1-'5.Closing Stock &amp; W Capital'!$D$15))+(F73*'5.Closing Stock &amp; W Capital'!$D$15))*$C$141*H$124</f>
        <v>0</v>
      </c>
      <c r="I141" s="92">
        <f>((H73*(1-'5.Closing Stock &amp; W Capital'!$D$15))+(G73*'5.Closing Stock &amp; W Capital'!$D$15))*$C$141*I$124</f>
        <v>0</v>
      </c>
      <c r="J141" s="92">
        <f>((I73*(1-'5.Closing Stock &amp; W Capital'!$D$15))+(H73*'5.Closing Stock &amp; W Capital'!$D$15))*$C$141*J$124</f>
        <v>0</v>
      </c>
      <c r="K141" s="90"/>
      <c r="U141" s="90"/>
      <c r="V141" s="90"/>
      <c r="W141" s="90"/>
    </row>
    <row r="142" spans="1:23">
      <c r="A142" s="91" t="str">
        <f t="shared" si="52"/>
        <v>Maize</v>
      </c>
      <c r="B142" s="91"/>
      <c r="C142" s="244"/>
      <c r="D142" s="92">
        <f>(C74*(1-'5.Closing Stock &amp; W Capital'!$D$15))*$C$142*D$124</f>
        <v>0</v>
      </c>
      <c r="E142" s="92">
        <f>((D74*(1-'5.Closing Stock &amp; W Capital'!$D$15))+(C74*'5.Closing Stock &amp; W Capital'!$D$15))*$C$142*E$124</f>
        <v>0</v>
      </c>
      <c r="F142" s="92">
        <f>((E74*(1-'5.Closing Stock &amp; W Capital'!$D$15))+(D74*'5.Closing Stock &amp; W Capital'!$D$15))*$C$142*F$124</f>
        <v>0</v>
      </c>
      <c r="G142" s="92">
        <f>((F74*(1-'5.Closing Stock &amp; W Capital'!$D$15))+(E74*'5.Closing Stock &amp; W Capital'!$D$15))*$C$142*G$124</f>
        <v>0</v>
      </c>
      <c r="H142" s="92">
        <f>((G74*(1-'5.Closing Stock &amp; W Capital'!$D$15))+(F74*'5.Closing Stock &amp; W Capital'!$D$15))*$C$142*H$124</f>
        <v>0</v>
      </c>
      <c r="I142" s="92">
        <f>((H74*(1-'5.Closing Stock &amp; W Capital'!$D$15))+(G74*'5.Closing Stock &amp; W Capital'!$D$15))*$C$142*I$124</f>
        <v>0</v>
      </c>
      <c r="J142" s="92">
        <f>((I74*(1-'5.Closing Stock &amp; W Capital'!$D$15))+(H74*'5.Closing Stock &amp; W Capital'!$D$15))*$C$142*J$124</f>
        <v>0</v>
      </c>
      <c r="K142" s="90"/>
      <c r="U142" s="90"/>
      <c r="V142" s="90"/>
      <c r="W142" s="90"/>
    </row>
    <row r="143" spans="1:23">
      <c r="A143" s="91" t="str">
        <f t="shared" si="52"/>
        <v>Safflower</v>
      </c>
      <c r="B143" s="91"/>
      <c r="C143" s="244"/>
      <c r="D143" s="92">
        <f>(C75*(1-'5.Closing Stock &amp; W Capital'!$D$15))*$C$143*D$124</f>
        <v>0</v>
      </c>
      <c r="E143" s="92">
        <f>((D75*(1-'5.Closing Stock &amp; W Capital'!$D$15))+(C75*'5.Closing Stock &amp; W Capital'!$D$15))*$C$143*E$124</f>
        <v>0</v>
      </c>
      <c r="F143" s="92">
        <f>((E75*(1-'5.Closing Stock &amp; W Capital'!$D$15))+(D75*'5.Closing Stock &amp; W Capital'!$D$15))*$C$143*F$124</f>
        <v>0</v>
      </c>
      <c r="G143" s="92">
        <f>((F75*(1-'5.Closing Stock &amp; W Capital'!$D$15))+(E75*'5.Closing Stock &amp; W Capital'!$D$15))*$C$143*G$124</f>
        <v>0</v>
      </c>
      <c r="H143" s="92">
        <f>((G75*(1-'5.Closing Stock &amp; W Capital'!$D$15))+(F75*'5.Closing Stock &amp; W Capital'!$D$15))*$C$143*H$124</f>
        <v>0</v>
      </c>
      <c r="I143" s="92">
        <f>((H75*(1-'5.Closing Stock &amp; W Capital'!$D$15))+(G75*'5.Closing Stock &amp; W Capital'!$D$15))*$C$143*I$124</f>
        <v>0</v>
      </c>
      <c r="J143" s="92">
        <f>((I75*(1-'5.Closing Stock &amp; W Capital'!$D$15))+(H75*'5.Closing Stock &amp; W Capital'!$D$15))*$C$143*J$124</f>
        <v>0</v>
      </c>
      <c r="K143" s="90"/>
      <c r="U143" s="90"/>
      <c r="V143" s="90"/>
      <c r="W143" s="90"/>
    </row>
    <row r="144" spans="1:23">
      <c r="A144" s="91">
        <f t="shared" si="52"/>
        <v>0</v>
      </c>
      <c r="B144" s="91"/>
      <c r="C144" s="244"/>
      <c r="D144" s="92">
        <f>(C76*(1-'5.Closing Stock &amp; W Capital'!$D$15))*$C$144*D$124</f>
        <v>0</v>
      </c>
      <c r="E144" s="92">
        <f>((D76*(1-'5.Closing Stock &amp; W Capital'!$D$15))+(C76*'5.Closing Stock &amp; W Capital'!$D$15))*$C$144*E$124</f>
        <v>0</v>
      </c>
      <c r="F144" s="92">
        <f>((E76*(1-'5.Closing Stock &amp; W Capital'!$D$15))+(D76*'5.Closing Stock &amp; W Capital'!$D$15))*$C$144*F$124</f>
        <v>0</v>
      </c>
      <c r="G144" s="92">
        <f>((F76*(1-'5.Closing Stock &amp; W Capital'!$D$15))+(E76*'5.Closing Stock &amp; W Capital'!$D$15))*$C$144*G$124</f>
        <v>0</v>
      </c>
      <c r="H144" s="92">
        <f>((G76*(1-'5.Closing Stock &amp; W Capital'!$D$15))+(F76*'5.Closing Stock &amp; W Capital'!$D$15))*$C$144*H$124</f>
        <v>0</v>
      </c>
      <c r="I144" s="92">
        <f>((H76*(1-'5.Closing Stock &amp; W Capital'!$D$15))+(G76*'5.Closing Stock &amp; W Capital'!$D$15))*$C$144*I$124</f>
        <v>0</v>
      </c>
      <c r="J144" s="92">
        <f>((I76*(1-'5.Closing Stock &amp; W Capital'!$D$15))+(H76*'5.Closing Stock &amp; W Capital'!$D$15))*$C$144*J$124</f>
        <v>0</v>
      </c>
      <c r="K144" s="90"/>
      <c r="U144" s="90"/>
      <c r="V144" s="90"/>
      <c r="W144" s="90"/>
    </row>
    <row r="145" spans="1:23">
      <c r="A145" s="91">
        <f t="shared" si="52"/>
        <v>0</v>
      </c>
      <c r="B145" s="91"/>
      <c r="C145" s="244"/>
      <c r="D145" s="92">
        <f>(C77*(1-'5.Closing Stock &amp; W Capital'!$D$15))*$C$145*D$124</f>
        <v>0</v>
      </c>
      <c r="E145" s="92">
        <f>((D77*(1-'5.Closing Stock &amp; W Capital'!$D$15))+(C77*'5.Closing Stock &amp; W Capital'!$D$15))*$C$145*E$124</f>
        <v>0</v>
      </c>
      <c r="F145" s="92">
        <f>((E77*(1-'5.Closing Stock &amp; W Capital'!$D$15))+(D77*'5.Closing Stock &amp; W Capital'!$D$15))*$C$145*F$124</f>
        <v>0</v>
      </c>
      <c r="G145" s="92">
        <f>((F77*(1-'5.Closing Stock &amp; W Capital'!$D$15))+(E77*'5.Closing Stock &amp; W Capital'!$D$15))*$C$145*G$124</f>
        <v>0</v>
      </c>
      <c r="H145" s="92">
        <f>((G77*(1-'5.Closing Stock &amp; W Capital'!$D$15))+(F77*'5.Closing Stock &amp; W Capital'!$D$15))*$C$145*H$124</f>
        <v>0</v>
      </c>
      <c r="I145" s="92">
        <f>((H77*(1-'5.Closing Stock &amp; W Capital'!$D$15))+(G77*'5.Closing Stock &amp; W Capital'!$D$15))*$C$145*I$124</f>
        <v>0</v>
      </c>
      <c r="J145" s="92">
        <f>((I77*(1-'5.Closing Stock &amp; W Capital'!$D$15))+(H77*'5.Closing Stock &amp; W Capital'!$D$15))*$C$145*J$124</f>
        <v>0</v>
      </c>
      <c r="K145" s="90"/>
      <c r="U145" s="90"/>
      <c r="V145" s="90"/>
      <c r="W145" s="90"/>
    </row>
    <row r="146" spans="1:23">
      <c r="A146" s="91">
        <f t="shared" si="52"/>
        <v>0</v>
      </c>
      <c r="B146" s="91"/>
      <c r="C146" s="244"/>
      <c r="D146" s="92">
        <f>(C78*(1-'5.Closing Stock &amp; W Capital'!$D$15))*$C$146*D$124</f>
        <v>0</v>
      </c>
      <c r="E146" s="92">
        <f>((D78*(1-'5.Closing Stock &amp; W Capital'!$D$15))+(C78*'5.Closing Stock &amp; W Capital'!$D$15))*$C$146*E$124</f>
        <v>0</v>
      </c>
      <c r="F146" s="92">
        <f>((E78*(1-'5.Closing Stock &amp; W Capital'!$D$15))+(D78*'5.Closing Stock &amp; W Capital'!$D$15))*$C$146*F$124</f>
        <v>0</v>
      </c>
      <c r="G146" s="92">
        <f>((F78*(1-'5.Closing Stock &amp; W Capital'!$D$15))+(E78*'5.Closing Stock &amp; W Capital'!$D$15))*$C$146*G$124</f>
        <v>0</v>
      </c>
      <c r="H146" s="92">
        <f>((G78*(1-'5.Closing Stock &amp; W Capital'!$D$15))+(F78*'5.Closing Stock &amp; W Capital'!$D$15))*$C$146*H$124</f>
        <v>0</v>
      </c>
      <c r="I146" s="92">
        <f>((H78*(1-'5.Closing Stock &amp; W Capital'!$D$15))+(G78*'5.Closing Stock &amp; W Capital'!$D$15))*$C$146*I$124</f>
        <v>0</v>
      </c>
      <c r="J146" s="92">
        <f>((I78*(1-'5.Closing Stock &amp; W Capital'!$D$15))+(H78*'5.Closing Stock &amp; W Capital'!$D$15))*$C$146*J$124</f>
        <v>0</v>
      </c>
      <c r="K146" s="90"/>
      <c r="U146" s="90"/>
      <c r="V146" s="90"/>
      <c r="W146" s="90"/>
    </row>
    <row r="147" spans="1:23">
      <c r="A147" s="93" t="str">
        <f t="shared" si="52"/>
        <v>Summer</v>
      </c>
      <c r="B147" s="91"/>
      <c r="C147" s="244"/>
      <c r="D147" s="92"/>
      <c r="E147" s="92"/>
      <c r="F147" s="92"/>
      <c r="G147" s="92"/>
      <c r="H147" s="92"/>
      <c r="I147" s="92"/>
      <c r="J147" s="92"/>
      <c r="K147" s="90"/>
      <c r="U147" s="90"/>
      <c r="V147" s="90"/>
      <c r="W147" s="90"/>
    </row>
    <row r="148" spans="1:23">
      <c r="A148" s="91" t="str">
        <f t="shared" si="52"/>
        <v>Groundnut</v>
      </c>
      <c r="B148" s="91"/>
      <c r="C148" s="244"/>
      <c r="D148" s="92">
        <f>(C80*(1-'5.Closing Stock &amp; W Capital'!$D$15))*$C$148*D$124</f>
        <v>0</v>
      </c>
      <c r="E148" s="92">
        <f>((D80*(1-'5.Closing Stock &amp; W Capital'!$D$15))+(C80*'5.Closing Stock &amp; W Capital'!$D$15))*$C$148*E$124</f>
        <v>0</v>
      </c>
      <c r="F148" s="92">
        <f>((E80*(1-'5.Closing Stock &amp; W Capital'!$D$15))+(D80*'5.Closing Stock &amp; W Capital'!$D$15))*$C$148*F$124</f>
        <v>0</v>
      </c>
      <c r="G148" s="92">
        <f>((F80*(1-'5.Closing Stock &amp; W Capital'!$D$15))+(E80*'5.Closing Stock &amp; W Capital'!$D$15))*$C$148*G$124</f>
        <v>0</v>
      </c>
      <c r="H148" s="92">
        <f>((G80*(1-'5.Closing Stock &amp; W Capital'!$D$15))+(F80*'5.Closing Stock &amp; W Capital'!$D$15))*$C$148*H$124</f>
        <v>0</v>
      </c>
      <c r="I148" s="92">
        <f>((H80*(1-'5.Closing Stock &amp; W Capital'!$D$15))+(G80*'5.Closing Stock &amp; W Capital'!$D$15))*$C$148*I$124</f>
        <v>0</v>
      </c>
      <c r="J148" s="92">
        <f>((I80*(1-'5.Closing Stock &amp; W Capital'!$D$15))+(H80*'5.Closing Stock &amp; W Capital'!$D$15))*$C$148*J$124</f>
        <v>0</v>
      </c>
      <c r="K148" s="90"/>
      <c r="U148" s="90"/>
      <c r="V148" s="90"/>
      <c r="W148" s="90"/>
    </row>
    <row r="149" spans="1:23">
      <c r="A149" s="91">
        <f t="shared" si="52"/>
        <v>0</v>
      </c>
      <c r="B149" s="91"/>
      <c r="C149" s="244"/>
      <c r="D149" s="92">
        <f>(C81*(1-'5.Closing Stock &amp; W Capital'!$D$15))*$C$149*D$124</f>
        <v>0</v>
      </c>
      <c r="E149" s="92">
        <f>((D81*(1-'5.Closing Stock &amp; W Capital'!$D$15))+(C81*'5.Closing Stock &amp; W Capital'!$D$15))*$C$149*E$124</f>
        <v>0</v>
      </c>
      <c r="F149" s="92">
        <f>((E81*(1-'5.Closing Stock &amp; W Capital'!$D$15))+(D81*'5.Closing Stock &amp; W Capital'!$D$15))*$C$149*F$124</f>
        <v>0</v>
      </c>
      <c r="G149" s="92">
        <f>((F81*(1-'5.Closing Stock &amp; W Capital'!$D$15))+(E81*'5.Closing Stock &amp; W Capital'!$D$15))*$C$149*G$124</f>
        <v>0</v>
      </c>
      <c r="H149" s="92">
        <f>((G81*(1-'5.Closing Stock &amp; W Capital'!$D$15))+(F81*'5.Closing Stock &amp; W Capital'!$D$15))*$C$149*H$124</f>
        <v>0</v>
      </c>
      <c r="I149" s="92">
        <f>((H81*(1-'5.Closing Stock &amp; W Capital'!$D$15))+(G81*'5.Closing Stock &amp; W Capital'!$D$15))*$C$149*I$124</f>
        <v>0</v>
      </c>
      <c r="J149" s="92">
        <f>((I81*(1-'5.Closing Stock &amp; W Capital'!$D$15))+(H81*'5.Closing Stock &amp; W Capital'!$D$15))*$C$149*J$124</f>
        <v>0</v>
      </c>
      <c r="K149" s="90"/>
      <c r="U149" s="90"/>
      <c r="V149" s="90"/>
      <c r="W149" s="90"/>
    </row>
    <row r="150" spans="1:23">
      <c r="A150" s="91">
        <f t="shared" si="52"/>
        <v>0</v>
      </c>
      <c r="B150" s="91"/>
      <c r="C150" s="244"/>
      <c r="D150" s="92">
        <f>(C82*(1-'5.Closing Stock &amp; W Capital'!$D$15))*$C$150*D$124</f>
        <v>0</v>
      </c>
      <c r="E150" s="92">
        <f>((D82*(1-'5.Closing Stock &amp; W Capital'!$D$15))+(C82*'5.Closing Stock &amp; W Capital'!$D$15))*$C$150*E$124</f>
        <v>0</v>
      </c>
      <c r="F150" s="92">
        <f>((E82*(1-'5.Closing Stock &amp; W Capital'!$D$15))+(D82*'5.Closing Stock &amp; W Capital'!$D$15))*$C$150*F$124</f>
        <v>0</v>
      </c>
      <c r="G150" s="92">
        <f>((F82*(1-'5.Closing Stock &amp; W Capital'!$D$15))+(E82*'5.Closing Stock &amp; W Capital'!$D$15))*$C$150*G$124</f>
        <v>0</v>
      </c>
      <c r="H150" s="92">
        <f>((G82*(1-'5.Closing Stock &amp; W Capital'!$D$15))+(F82*'5.Closing Stock &amp; W Capital'!$D$15))*$C$150*H$124</f>
        <v>0</v>
      </c>
      <c r="I150" s="92">
        <f>((H82*(1-'5.Closing Stock &amp; W Capital'!$D$15))+(G82*'5.Closing Stock &amp; W Capital'!$D$15))*$C$150*I$124</f>
        <v>0</v>
      </c>
      <c r="J150" s="92">
        <f>((I82*(1-'5.Closing Stock &amp; W Capital'!$D$15))+(H82*'5.Closing Stock &amp; W Capital'!$D$15))*$C$150*J$124</f>
        <v>0</v>
      </c>
      <c r="K150" s="90"/>
      <c r="U150" s="90"/>
      <c r="V150" s="90"/>
      <c r="W150" s="90"/>
    </row>
    <row r="151" spans="1:23">
      <c r="A151" s="91">
        <f t="shared" si="52"/>
        <v>0</v>
      </c>
      <c r="B151" s="91"/>
      <c r="C151" s="244"/>
      <c r="D151" s="92">
        <f>(C83*(1-'5.Closing Stock &amp; W Capital'!$D$15))*$C$151*D$124</f>
        <v>0</v>
      </c>
      <c r="E151" s="92">
        <f>((D83*(1-'5.Closing Stock &amp; W Capital'!$D$15))+(C83*'5.Closing Stock &amp; W Capital'!$D$15))*$C$151*E$124</f>
        <v>0</v>
      </c>
      <c r="F151" s="92">
        <f>((E83*(1-'5.Closing Stock &amp; W Capital'!$D$15))+(D83*'5.Closing Stock &amp; W Capital'!$D$15))*$C$151*F$124</f>
        <v>0</v>
      </c>
      <c r="G151" s="92">
        <f>((F83*(1-'5.Closing Stock &amp; W Capital'!$D$15))+(E83*'5.Closing Stock &amp; W Capital'!$D$15))*$C$151*G$124</f>
        <v>0</v>
      </c>
      <c r="H151" s="92">
        <f>((G83*(1-'5.Closing Stock &amp; W Capital'!$D$15))+(F83*'5.Closing Stock &amp; W Capital'!$D$15))*$C$151*H$124</f>
        <v>0</v>
      </c>
      <c r="I151" s="92">
        <f>((H83*(1-'5.Closing Stock &amp; W Capital'!$D$15))+(G83*'5.Closing Stock &amp; W Capital'!$D$15))*$C$151*I$124</f>
        <v>0</v>
      </c>
      <c r="J151" s="92">
        <f>((I83*(1-'5.Closing Stock &amp; W Capital'!$D$15))+(H83*'5.Closing Stock &amp; W Capital'!$D$15))*$C$151*J$124</f>
        <v>0</v>
      </c>
      <c r="K151" s="90"/>
      <c r="U151" s="90"/>
      <c r="V151" s="90"/>
      <c r="W151" s="90"/>
    </row>
    <row r="152" spans="1:23">
      <c r="A152" s="91">
        <f t="shared" si="52"/>
        <v>0</v>
      </c>
      <c r="B152" s="91"/>
      <c r="C152" s="244"/>
      <c r="D152" s="92">
        <f>(C84*(1-'5.Closing Stock &amp; W Capital'!$D$15))*$C$152*D$124</f>
        <v>0</v>
      </c>
      <c r="E152" s="92">
        <f>((D84*(1-'5.Closing Stock &amp; W Capital'!$D$15))+(C84*'5.Closing Stock &amp; W Capital'!$D$15))*$C$152*E$124</f>
        <v>0</v>
      </c>
      <c r="F152" s="92">
        <f>((E84*(1-'5.Closing Stock &amp; W Capital'!$D$15))+(D84*'5.Closing Stock &amp; W Capital'!$D$15))*$C$152*F$124</f>
        <v>0</v>
      </c>
      <c r="G152" s="92">
        <f>((F84*(1-'5.Closing Stock &amp; W Capital'!$D$15))+(E84*'5.Closing Stock &amp; W Capital'!$D$15))*$C$152*G$124</f>
        <v>0</v>
      </c>
      <c r="H152" s="92">
        <f>((G84*(1-'5.Closing Stock &amp; W Capital'!$D$15))+(F84*'5.Closing Stock &amp; W Capital'!$D$15))*$C$152*H$124</f>
        <v>0</v>
      </c>
      <c r="I152" s="92">
        <f>((H84*(1-'5.Closing Stock &amp; W Capital'!$D$15))+(G84*'5.Closing Stock &amp; W Capital'!$D$15))*$C$152*I$124</f>
        <v>0</v>
      </c>
      <c r="J152" s="92">
        <f>((I84*(1-'5.Closing Stock &amp; W Capital'!$D$15))+(H84*'5.Closing Stock &amp; W Capital'!$D$15))*$C$152*J$124</f>
        <v>0</v>
      </c>
      <c r="K152" s="90"/>
      <c r="U152" s="90"/>
      <c r="V152" s="90"/>
      <c r="W152" s="90"/>
    </row>
    <row r="153" spans="1:23">
      <c r="A153" s="91" t="str">
        <f t="shared" si="52"/>
        <v>Fruit  &amp; Vegetables Crop Production Details</v>
      </c>
      <c r="B153" s="91"/>
      <c r="C153" s="244"/>
      <c r="D153" s="92"/>
      <c r="E153" s="92"/>
      <c r="F153" s="92"/>
      <c r="G153" s="92"/>
      <c r="H153" s="92"/>
      <c r="I153" s="92"/>
      <c r="J153" s="92"/>
      <c r="K153" s="90"/>
      <c r="U153" s="90"/>
      <c r="V153" s="90"/>
      <c r="W153" s="90"/>
    </row>
    <row r="154" spans="1:23">
      <c r="A154" s="91" t="str">
        <f t="shared" si="52"/>
        <v>Onion</v>
      </c>
      <c r="B154" s="91"/>
      <c r="C154" s="244"/>
      <c r="D154" s="92">
        <f>(C86*(1-'5.Closing Stock &amp; W Capital'!$D$15))*$C154*D$124</f>
        <v>0</v>
      </c>
      <c r="E154" s="92">
        <f>((D86*(1-'5.Closing Stock &amp; W Capital'!$D$15))+(C86*'5.Closing Stock &amp; W Capital'!$D$15))*$C154*E$124</f>
        <v>0</v>
      </c>
      <c r="F154" s="92">
        <f>((E86*(1-'5.Closing Stock &amp; W Capital'!$D$15))+(D86*'5.Closing Stock &amp; W Capital'!$D$15))*$C154*F$124</f>
        <v>0</v>
      </c>
      <c r="G154" s="92">
        <f>((F86*(1-'5.Closing Stock &amp; W Capital'!$D$15))+(E86*'5.Closing Stock &amp; W Capital'!$D$15))*$C154*G$124</f>
        <v>0</v>
      </c>
      <c r="H154" s="92">
        <f>((G86*(1-'5.Closing Stock &amp; W Capital'!$D$15))+(F86*'5.Closing Stock &amp; W Capital'!$D$15))*$C154*H$124</f>
        <v>0</v>
      </c>
      <c r="I154" s="92">
        <f>((H86*(1-'5.Closing Stock &amp; W Capital'!$D$15))+(G86*'5.Closing Stock &amp; W Capital'!$D$15))*$C154*I$124</f>
        <v>0</v>
      </c>
      <c r="J154" s="92">
        <f>((I86*(1-'5.Closing Stock &amp; W Capital'!$D$15))+(H86*'5.Closing Stock &amp; W Capital'!$D$15))*$C154*J$124</f>
        <v>0</v>
      </c>
      <c r="K154" s="90"/>
      <c r="U154" s="90"/>
      <c r="V154" s="90"/>
      <c r="W154" s="90"/>
    </row>
    <row r="155" spans="1:23">
      <c r="A155" s="91" t="str">
        <f t="shared" si="52"/>
        <v>Tomato</v>
      </c>
      <c r="B155" s="91"/>
      <c r="C155" s="244"/>
      <c r="D155" s="92">
        <f>(C87*(1-'5.Closing Stock &amp; W Capital'!$D$15))*$C155*D$124</f>
        <v>0</v>
      </c>
      <c r="E155" s="92">
        <f>((D87*(1-'5.Closing Stock &amp; W Capital'!$D$15))+(C87*'5.Closing Stock &amp; W Capital'!$D$15))*$C155*E$124</f>
        <v>0</v>
      </c>
      <c r="F155" s="92">
        <f>((E87*(1-'5.Closing Stock &amp; W Capital'!$D$15))+(D87*'5.Closing Stock &amp; W Capital'!$D$15))*$C155*F$124</f>
        <v>0</v>
      </c>
      <c r="G155" s="92">
        <f>((F87*(1-'5.Closing Stock &amp; W Capital'!$D$15))+(E87*'5.Closing Stock &amp; W Capital'!$D$15))*$C155*G$124</f>
        <v>0</v>
      </c>
      <c r="H155" s="92">
        <f>((G87*(1-'5.Closing Stock &amp; W Capital'!$D$15))+(F87*'5.Closing Stock &amp; W Capital'!$D$15))*$C155*H$124</f>
        <v>0</v>
      </c>
      <c r="I155" s="92">
        <f>((H87*(1-'5.Closing Stock &amp; W Capital'!$D$15))+(G87*'5.Closing Stock &amp; W Capital'!$D$15))*$C155*I$124</f>
        <v>0</v>
      </c>
      <c r="J155" s="92">
        <f>((I87*(1-'5.Closing Stock &amp; W Capital'!$D$15))+(H87*'5.Closing Stock &amp; W Capital'!$D$15))*$C155*J$124</f>
        <v>0</v>
      </c>
      <c r="K155" s="90"/>
      <c r="U155" s="90"/>
      <c r="V155" s="90"/>
      <c r="W155" s="90"/>
    </row>
    <row r="156" spans="1:23">
      <c r="A156" s="91" t="str">
        <f t="shared" si="52"/>
        <v>Okra</v>
      </c>
      <c r="B156" s="91"/>
      <c r="C156" s="244"/>
      <c r="D156" s="92">
        <f>(C88*(1-'5.Closing Stock &amp; W Capital'!$D$15))*$C156*D$124</f>
        <v>0</v>
      </c>
      <c r="E156" s="92">
        <f>((D88*(1-'5.Closing Stock &amp; W Capital'!$D$15))+(C88*'5.Closing Stock &amp; W Capital'!$D$15))*$C156*E$124</f>
        <v>0</v>
      </c>
      <c r="F156" s="92">
        <f>((E88*(1-'5.Closing Stock &amp; W Capital'!$D$15))+(D88*'5.Closing Stock &amp; W Capital'!$D$15))*$C156*F$124</f>
        <v>0</v>
      </c>
      <c r="G156" s="92">
        <f>((F88*(1-'5.Closing Stock &amp; W Capital'!$D$15))+(E88*'5.Closing Stock &amp; W Capital'!$D$15))*$C156*G$124</f>
        <v>0</v>
      </c>
      <c r="H156" s="92">
        <f>((G88*(1-'5.Closing Stock &amp; W Capital'!$D$15))+(F88*'5.Closing Stock &amp; W Capital'!$D$15))*$C156*H$124</f>
        <v>0</v>
      </c>
      <c r="I156" s="92">
        <f>((H88*(1-'5.Closing Stock &amp; W Capital'!$D$15))+(G88*'5.Closing Stock &amp; W Capital'!$D$15))*$C156*I$124</f>
        <v>0</v>
      </c>
      <c r="J156" s="92">
        <f>((I88*(1-'5.Closing Stock &amp; W Capital'!$D$15))+(H88*'5.Closing Stock &amp; W Capital'!$D$15))*$C156*J$124</f>
        <v>0</v>
      </c>
      <c r="K156" s="90"/>
      <c r="U156" s="90"/>
      <c r="V156" s="90"/>
      <c r="W156" s="90"/>
    </row>
    <row r="157" spans="1:23">
      <c r="A157" s="91" t="str">
        <f t="shared" si="52"/>
        <v>Chilli</v>
      </c>
      <c r="B157" s="91"/>
      <c r="C157" s="244"/>
      <c r="D157" s="92">
        <f>(C89*(1-'5.Closing Stock &amp; W Capital'!$D$15))*$C157*D$124</f>
        <v>0</v>
      </c>
      <c r="E157" s="92">
        <f>((D89*(1-'5.Closing Stock &amp; W Capital'!$D$15))+(C89*'5.Closing Stock &amp; W Capital'!$D$15))*$C157*E$124</f>
        <v>0</v>
      </c>
      <c r="F157" s="92">
        <f>((E89*(1-'5.Closing Stock &amp; W Capital'!$D$15))+(D89*'5.Closing Stock &amp; W Capital'!$D$15))*$C157*F$124</f>
        <v>0</v>
      </c>
      <c r="G157" s="92">
        <f>((F89*(1-'5.Closing Stock &amp; W Capital'!$D$15))+(E89*'5.Closing Stock &amp; W Capital'!$D$15))*$C157*G$124</f>
        <v>0</v>
      </c>
      <c r="H157" s="92">
        <f>((G89*(1-'5.Closing Stock &amp; W Capital'!$D$15))+(F89*'5.Closing Stock &amp; W Capital'!$D$15))*$C157*H$124</f>
        <v>0</v>
      </c>
      <c r="I157" s="92">
        <f>((H89*(1-'5.Closing Stock &amp; W Capital'!$D$15))+(G89*'5.Closing Stock &amp; W Capital'!$D$15))*$C157*I$124</f>
        <v>0</v>
      </c>
      <c r="J157" s="92">
        <f>((I89*(1-'5.Closing Stock &amp; W Capital'!$D$15))+(H89*'5.Closing Stock &amp; W Capital'!$D$15))*$C157*J$124</f>
        <v>0</v>
      </c>
      <c r="K157" s="90"/>
      <c r="U157" s="90"/>
      <c r="V157" s="90"/>
      <c r="W157" s="90"/>
    </row>
    <row r="158" spans="1:23">
      <c r="A158" s="91" t="str">
        <f t="shared" si="52"/>
        <v>Potato</v>
      </c>
      <c r="B158" s="91"/>
      <c r="C158" s="244"/>
      <c r="D158" s="92">
        <f>(C90*(1-'5.Closing Stock &amp; W Capital'!$D$15))*$C158*D$124</f>
        <v>0</v>
      </c>
      <c r="E158" s="92">
        <f>((D90*(1-'5.Closing Stock &amp; W Capital'!$D$15))+(C90*'5.Closing Stock &amp; W Capital'!$D$15))*$C158*E$124</f>
        <v>0</v>
      </c>
      <c r="F158" s="92">
        <f>((E90*(1-'5.Closing Stock &amp; W Capital'!$D$15))+(D90*'5.Closing Stock &amp; W Capital'!$D$15))*$C158*F$124</f>
        <v>0</v>
      </c>
      <c r="G158" s="92">
        <f>((F90*(1-'5.Closing Stock &amp; W Capital'!$D$15))+(E90*'5.Closing Stock &amp; W Capital'!$D$15))*$C158*G$124</f>
        <v>0</v>
      </c>
      <c r="H158" s="92">
        <f>((G90*(1-'5.Closing Stock &amp; W Capital'!$D$15))+(F90*'5.Closing Stock &amp; W Capital'!$D$15))*$C158*H$124</f>
        <v>0</v>
      </c>
      <c r="I158" s="92">
        <f>((H90*(1-'5.Closing Stock &amp; W Capital'!$D$15))+(G90*'5.Closing Stock &amp; W Capital'!$D$15))*$C158*I$124</f>
        <v>0</v>
      </c>
      <c r="J158" s="92">
        <f>((I90*(1-'5.Closing Stock &amp; W Capital'!$D$15))+(H90*'5.Closing Stock &amp; W Capital'!$D$15))*$C158*J$124</f>
        <v>0</v>
      </c>
      <c r="K158" s="90"/>
      <c r="U158" s="90"/>
      <c r="V158" s="90"/>
      <c r="W158" s="90"/>
    </row>
    <row r="159" spans="1:23">
      <c r="A159" s="91">
        <f t="shared" si="52"/>
        <v>0</v>
      </c>
      <c r="B159" s="91"/>
      <c r="C159" s="244"/>
      <c r="D159" s="92">
        <f>(C91*(1-'5.Closing Stock &amp; W Capital'!$D$15))*$C159*D$124</f>
        <v>0</v>
      </c>
      <c r="E159" s="92">
        <f>((D91*(1-'5.Closing Stock &amp; W Capital'!$D$15))+(C91*'5.Closing Stock &amp; W Capital'!$D$15))*$C159*E$124</f>
        <v>0</v>
      </c>
      <c r="F159" s="92">
        <f>((E91*(1-'5.Closing Stock &amp; W Capital'!$D$15))+(D91*'5.Closing Stock &amp; W Capital'!$D$15))*$C159*F$124</f>
        <v>0</v>
      </c>
      <c r="G159" s="92">
        <f>((F91*(1-'5.Closing Stock &amp; W Capital'!$D$15))+(E91*'5.Closing Stock &amp; W Capital'!$D$15))*$C159*G$124</f>
        <v>0</v>
      </c>
      <c r="H159" s="92">
        <f>((G91*(1-'5.Closing Stock &amp; W Capital'!$D$15))+(F91*'5.Closing Stock &amp; W Capital'!$D$15))*$C159*H$124</f>
        <v>0</v>
      </c>
      <c r="I159" s="92">
        <f>((H91*(1-'5.Closing Stock &amp; W Capital'!$D$15))+(G91*'5.Closing Stock &amp; W Capital'!$D$15))*$C159*I$124</f>
        <v>0</v>
      </c>
      <c r="J159" s="92">
        <f>((I91*(1-'5.Closing Stock &amp; W Capital'!$D$15))+(H91*'5.Closing Stock &amp; W Capital'!$D$15))*$C159*J$124</f>
        <v>0</v>
      </c>
      <c r="K159" s="90"/>
      <c r="U159" s="90"/>
      <c r="V159" s="90"/>
      <c r="W159" s="90"/>
    </row>
    <row r="160" spans="1:23">
      <c r="A160" s="91">
        <f t="shared" si="52"/>
        <v>0</v>
      </c>
      <c r="B160" s="91"/>
      <c r="C160" s="244"/>
      <c r="D160" s="92">
        <f>(C92*(1-'5.Closing Stock &amp; W Capital'!$D$15))*$C160*D$124</f>
        <v>0</v>
      </c>
      <c r="E160" s="92">
        <f>((D92*(1-'5.Closing Stock &amp; W Capital'!$D$15))+(C92*'5.Closing Stock &amp; W Capital'!$D$15))*$C160*E$124</f>
        <v>0</v>
      </c>
      <c r="F160" s="92">
        <f>((E92*(1-'5.Closing Stock &amp; W Capital'!$D$15))+(D92*'5.Closing Stock &amp; W Capital'!$D$15))*$C160*F$124</f>
        <v>0</v>
      </c>
      <c r="G160" s="92">
        <f>((F92*(1-'5.Closing Stock &amp; W Capital'!$D$15))+(E92*'5.Closing Stock &amp; W Capital'!$D$15))*$C160*G$124</f>
        <v>0</v>
      </c>
      <c r="H160" s="92">
        <f>((G92*(1-'5.Closing Stock &amp; W Capital'!$D$15))+(F92*'5.Closing Stock &amp; W Capital'!$D$15))*$C160*H$124</f>
        <v>0</v>
      </c>
      <c r="I160" s="92">
        <f>((H92*(1-'5.Closing Stock &amp; W Capital'!$D$15))+(G92*'5.Closing Stock &amp; W Capital'!$D$15))*$C160*I$124</f>
        <v>0</v>
      </c>
      <c r="J160" s="92">
        <f>((I92*(1-'5.Closing Stock &amp; W Capital'!$D$15))+(H92*'5.Closing Stock &amp; W Capital'!$D$15))*$C160*J$124</f>
        <v>0</v>
      </c>
      <c r="K160" s="90"/>
      <c r="U160" s="90"/>
      <c r="V160" s="90"/>
      <c r="W160" s="90"/>
    </row>
    <row r="161" spans="1:23">
      <c r="A161" s="91">
        <f t="shared" ref="A161:A179" si="53">A40</f>
        <v>0</v>
      </c>
      <c r="B161" s="91"/>
      <c r="C161" s="244"/>
      <c r="D161" s="92">
        <f>(C93*(1-'5.Closing Stock &amp; W Capital'!$D$15))*$C161*D$124</f>
        <v>0</v>
      </c>
      <c r="E161" s="92">
        <f>((D93*(1-'5.Closing Stock &amp; W Capital'!$D$15))+(C93*'5.Closing Stock &amp; W Capital'!$D$15))*$C161*E$124</f>
        <v>0</v>
      </c>
      <c r="F161" s="92">
        <f>((E93*(1-'5.Closing Stock &amp; W Capital'!$D$15))+(D93*'5.Closing Stock &amp; W Capital'!$D$15))*$C161*F$124</f>
        <v>0</v>
      </c>
      <c r="G161" s="92">
        <f>((F93*(1-'5.Closing Stock &amp; W Capital'!$D$15))+(E93*'5.Closing Stock &amp; W Capital'!$D$15))*$C161*G$124</f>
        <v>0</v>
      </c>
      <c r="H161" s="92">
        <f>((G93*(1-'5.Closing Stock &amp; W Capital'!$D$15))+(F93*'5.Closing Stock &amp; W Capital'!$D$15))*$C161*H$124</f>
        <v>0</v>
      </c>
      <c r="I161" s="92">
        <f>((H93*(1-'5.Closing Stock &amp; W Capital'!$D$15))+(G93*'5.Closing Stock &amp; W Capital'!$D$15))*$C161*I$124</f>
        <v>0</v>
      </c>
      <c r="J161" s="92">
        <f>((I93*(1-'5.Closing Stock &amp; W Capital'!$D$15))+(H93*'5.Closing Stock &amp; W Capital'!$D$15))*$C161*J$124</f>
        <v>0</v>
      </c>
      <c r="K161" s="90"/>
      <c r="U161" s="90"/>
      <c r="V161" s="90"/>
      <c r="W161" s="90"/>
    </row>
    <row r="162" spans="1:23">
      <c r="A162" s="91">
        <f t="shared" si="53"/>
        <v>0</v>
      </c>
      <c r="B162" s="91"/>
      <c r="C162" s="244"/>
      <c r="D162" s="92">
        <f>(C94*(1-'5.Closing Stock &amp; W Capital'!$D$15))*$C162*D$124</f>
        <v>0</v>
      </c>
      <c r="E162" s="92">
        <f>((D94*(1-'5.Closing Stock &amp; W Capital'!$D$15))+(C94*'5.Closing Stock &amp; W Capital'!$D$15))*$C162*E$124</f>
        <v>0</v>
      </c>
      <c r="F162" s="92">
        <f>((E94*(1-'5.Closing Stock &amp; W Capital'!$D$15))+(D94*'5.Closing Stock &amp; W Capital'!$D$15))*$C162*F$124</f>
        <v>0</v>
      </c>
      <c r="G162" s="92">
        <f>((F94*(1-'5.Closing Stock &amp; W Capital'!$D$15))+(E94*'5.Closing Stock &amp; W Capital'!$D$15))*$C162*G$124</f>
        <v>0</v>
      </c>
      <c r="H162" s="92">
        <f>((G94*(1-'5.Closing Stock &amp; W Capital'!$D$15))+(F94*'5.Closing Stock &amp; W Capital'!$D$15))*$C162*H$124</f>
        <v>0</v>
      </c>
      <c r="I162" s="92">
        <f>((H94*(1-'5.Closing Stock &amp; W Capital'!$D$15))+(G94*'5.Closing Stock &amp; W Capital'!$D$15))*$C162*I$124</f>
        <v>0</v>
      </c>
      <c r="J162" s="92">
        <f>((I94*(1-'5.Closing Stock &amp; W Capital'!$D$15))+(H94*'5.Closing Stock &amp; W Capital'!$D$15))*$C162*J$124</f>
        <v>0</v>
      </c>
      <c r="K162" s="90"/>
      <c r="U162" s="90"/>
      <c r="V162" s="90"/>
      <c r="W162" s="90"/>
    </row>
    <row r="163" spans="1:23">
      <c r="A163" s="91" t="str">
        <f t="shared" si="53"/>
        <v>Onion</v>
      </c>
      <c r="B163" s="91"/>
      <c r="C163" s="244"/>
      <c r="D163" s="92">
        <f>(C95*(1-'5.Closing Stock &amp; W Capital'!$D$15))*$C163*D$124</f>
        <v>0</v>
      </c>
      <c r="E163" s="92">
        <f>((D95*(1-'5.Closing Stock &amp; W Capital'!$D$15))+(C95*'5.Closing Stock &amp; W Capital'!$D$15))*$C163*E$124</f>
        <v>0</v>
      </c>
      <c r="F163" s="92">
        <f>((E95*(1-'5.Closing Stock &amp; W Capital'!$D$15))+(D95*'5.Closing Stock &amp; W Capital'!$D$15))*$C163*F$124</f>
        <v>0</v>
      </c>
      <c r="G163" s="92">
        <f>((F95*(1-'5.Closing Stock &amp; W Capital'!$D$15))+(E95*'5.Closing Stock &amp; W Capital'!$D$15))*$C163*G$124</f>
        <v>0</v>
      </c>
      <c r="H163" s="92">
        <f>((G95*(1-'5.Closing Stock &amp; W Capital'!$D$15))+(F95*'5.Closing Stock &amp; W Capital'!$D$15))*$C163*H$124</f>
        <v>0</v>
      </c>
      <c r="I163" s="92">
        <f>((H95*(1-'5.Closing Stock &amp; W Capital'!$D$15))+(G95*'5.Closing Stock &amp; W Capital'!$D$15))*$C163*I$124</f>
        <v>0</v>
      </c>
      <c r="J163" s="92">
        <f>((I95*(1-'5.Closing Stock &amp; W Capital'!$D$15))+(H95*'5.Closing Stock &amp; W Capital'!$D$15))*$C163*J$124</f>
        <v>0</v>
      </c>
      <c r="K163" s="90"/>
      <c r="U163" s="90"/>
      <c r="V163" s="90"/>
      <c r="W163" s="90"/>
    </row>
    <row r="164" spans="1:23">
      <c r="A164" s="91" t="str">
        <f t="shared" si="53"/>
        <v>Tomato</v>
      </c>
      <c r="B164" s="91"/>
      <c r="C164" s="244"/>
      <c r="D164" s="92">
        <f>(C96*(1-'5.Closing Stock &amp; W Capital'!$D$15))*$C164*D$124</f>
        <v>0</v>
      </c>
      <c r="E164" s="92">
        <f>((D96*(1-'5.Closing Stock &amp; W Capital'!$D$15))+(C96*'5.Closing Stock &amp; W Capital'!$D$15))*$C164*E$124</f>
        <v>0</v>
      </c>
      <c r="F164" s="92">
        <f>((E96*(1-'5.Closing Stock &amp; W Capital'!$D$15))+(D96*'5.Closing Stock &amp; W Capital'!$D$15))*$C164*F$124</f>
        <v>0</v>
      </c>
      <c r="G164" s="92">
        <f>((F96*(1-'5.Closing Stock &amp; W Capital'!$D$15))+(E96*'5.Closing Stock &amp; W Capital'!$D$15))*$C164*G$124</f>
        <v>0</v>
      </c>
      <c r="H164" s="92">
        <f>((G96*(1-'5.Closing Stock &amp; W Capital'!$D$15))+(F96*'5.Closing Stock &amp; W Capital'!$D$15))*$C164*H$124</f>
        <v>0</v>
      </c>
      <c r="I164" s="92">
        <f>((H96*(1-'5.Closing Stock &amp; W Capital'!$D$15))+(G96*'5.Closing Stock &amp; W Capital'!$D$15))*$C164*I$124</f>
        <v>0</v>
      </c>
      <c r="J164" s="92">
        <f>((I96*(1-'5.Closing Stock &amp; W Capital'!$D$15))+(H96*'5.Closing Stock &amp; W Capital'!$D$15))*$C164*J$124</f>
        <v>0</v>
      </c>
      <c r="K164" s="90"/>
      <c r="U164" s="90"/>
      <c r="V164" s="90"/>
      <c r="W164" s="90"/>
    </row>
    <row r="165" spans="1:23">
      <c r="A165" s="91" t="str">
        <f t="shared" si="53"/>
        <v>Okra</v>
      </c>
      <c r="B165" s="91"/>
      <c r="C165" s="244"/>
      <c r="D165" s="92">
        <f>(C97*(1-'5.Closing Stock &amp; W Capital'!$D$15))*$C165*D$124</f>
        <v>0</v>
      </c>
      <c r="E165" s="92">
        <f>((D97*(1-'5.Closing Stock &amp; W Capital'!$D$15))+(C97*'5.Closing Stock &amp; W Capital'!$D$15))*$C165*E$124</f>
        <v>0</v>
      </c>
      <c r="F165" s="92">
        <f>((E97*(1-'5.Closing Stock &amp; W Capital'!$D$15))+(D97*'5.Closing Stock &amp; W Capital'!$D$15))*$C165*F$124</f>
        <v>0</v>
      </c>
      <c r="G165" s="92">
        <f>((F97*(1-'5.Closing Stock &amp; W Capital'!$D$15))+(E97*'5.Closing Stock &amp; W Capital'!$D$15))*$C165*G$124</f>
        <v>0</v>
      </c>
      <c r="H165" s="92">
        <f>((G97*(1-'5.Closing Stock &amp; W Capital'!$D$15))+(F97*'5.Closing Stock &amp; W Capital'!$D$15))*$C165*H$124</f>
        <v>0</v>
      </c>
      <c r="I165" s="92">
        <f>((H97*(1-'5.Closing Stock &amp; W Capital'!$D$15))+(G97*'5.Closing Stock &amp; W Capital'!$D$15))*$C165*I$124</f>
        <v>0</v>
      </c>
      <c r="J165" s="92">
        <f>((I97*(1-'5.Closing Stock &amp; W Capital'!$D$15))+(H97*'5.Closing Stock &amp; W Capital'!$D$15))*$C165*J$124</f>
        <v>0</v>
      </c>
      <c r="K165" s="90"/>
      <c r="U165" s="90"/>
      <c r="V165" s="90"/>
      <c r="W165" s="90"/>
    </row>
    <row r="166" spans="1:23">
      <c r="A166" s="91" t="str">
        <f t="shared" si="53"/>
        <v>Chilli</v>
      </c>
      <c r="B166" s="91"/>
      <c r="C166" s="244"/>
      <c r="D166" s="92">
        <f>(C98*(1-'5.Closing Stock &amp; W Capital'!$D$15))*$C166*D$124</f>
        <v>0</v>
      </c>
      <c r="E166" s="92">
        <f>((D98*(1-'5.Closing Stock &amp; W Capital'!$D$15))+(C98*'5.Closing Stock &amp; W Capital'!$D$15))*$C166*E$124</f>
        <v>0</v>
      </c>
      <c r="F166" s="92">
        <f>((E98*(1-'5.Closing Stock &amp; W Capital'!$D$15))+(D98*'5.Closing Stock &amp; W Capital'!$D$15))*$C166*F$124</f>
        <v>0</v>
      </c>
      <c r="G166" s="92">
        <f>((F98*(1-'5.Closing Stock &amp; W Capital'!$D$15))+(E98*'5.Closing Stock &amp; W Capital'!$D$15))*$C166*G$124</f>
        <v>0</v>
      </c>
      <c r="H166" s="92">
        <f>((G98*(1-'5.Closing Stock &amp; W Capital'!$D$15))+(F98*'5.Closing Stock &amp; W Capital'!$D$15))*$C166*H$124</f>
        <v>0</v>
      </c>
      <c r="I166" s="92">
        <f>((H98*(1-'5.Closing Stock &amp; W Capital'!$D$15))+(G98*'5.Closing Stock &amp; W Capital'!$D$15))*$C166*I$124</f>
        <v>0</v>
      </c>
      <c r="J166" s="92">
        <f>((I98*(1-'5.Closing Stock &amp; W Capital'!$D$15))+(H98*'5.Closing Stock &amp; W Capital'!$D$15))*$C166*J$124</f>
        <v>0</v>
      </c>
      <c r="K166" s="90"/>
      <c r="U166" s="90"/>
      <c r="V166" s="90"/>
      <c r="W166" s="90"/>
    </row>
    <row r="167" spans="1:23">
      <c r="A167" s="91" t="str">
        <f t="shared" si="53"/>
        <v>Brinjal</v>
      </c>
      <c r="B167" s="91"/>
      <c r="C167" s="244"/>
      <c r="D167" s="92">
        <f>(C99*(1-'5.Closing Stock &amp; W Capital'!$D$15))*$C167*D$124</f>
        <v>0</v>
      </c>
      <c r="E167" s="92">
        <f>((D99*(1-'5.Closing Stock &amp; W Capital'!$D$15))+(C99*'5.Closing Stock &amp; W Capital'!$D$15))*$C167*E$124</f>
        <v>0</v>
      </c>
      <c r="F167" s="92">
        <f>((E99*(1-'5.Closing Stock &amp; W Capital'!$D$15))+(D99*'5.Closing Stock &amp; W Capital'!$D$15))*$C167*F$124</f>
        <v>0</v>
      </c>
      <c r="G167" s="92">
        <f>((F99*(1-'5.Closing Stock &amp; W Capital'!$D$15))+(E99*'5.Closing Stock &amp; W Capital'!$D$15))*$C167*G$124</f>
        <v>0</v>
      </c>
      <c r="H167" s="92">
        <f>((G99*(1-'5.Closing Stock &amp; W Capital'!$D$15))+(F99*'5.Closing Stock &amp; W Capital'!$D$15))*$C167*H$124</f>
        <v>0</v>
      </c>
      <c r="I167" s="92">
        <f>((H99*(1-'5.Closing Stock &amp; W Capital'!$D$15))+(G99*'5.Closing Stock &amp; W Capital'!$D$15))*$C167*I$124</f>
        <v>0</v>
      </c>
      <c r="J167" s="92">
        <f>((I99*(1-'5.Closing Stock &amp; W Capital'!$D$15))+(H99*'5.Closing Stock &amp; W Capital'!$D$15))*$C167*J$124</f>
        <v>0</v>
      </c>
      <c r="K167" s="90"/>
      <c r="U167" s="90"/>
      <c r="V167" s="90"/>
      <c r="W167" s="90"/>
    </row>
    <row r="168" spans="1:23">
      <c r="A168" s="91">
        <f t="shared" si="53"/>
        <v>0</v>
      </c>
      <c r="B168" s="91"/>
      <c r="C168" s="244"/>
      <c r="D168" s="92">
        <f>(C100*(1-'5.Closing Stock &amp; W Capital'!$D$15))*$C168*D$124</f>
        <v>0</v>
      </c>
      <c r="E168" s="92">
        <f>((D100*(1-'5.Closing Stock &amp; W Capital'!$D$15))+(C100*'5.Closing Stock &amp; W Capital'!$D$15))*$C168*E$124</f>
        <v>0</v>
      </c>
      <c r="F168" s="92">
        <f>((E100*(1-'5.Closing Stock &amp; W Capital'!$D$15))+(D100*'5.Closing Stock &amp; W Capital'!$D$15))*$C168*F$124</f>
        <v>0</v>
      </c>
      <c r="G168" s="92">
        <f>((F100*(1-'5.Closing Stock &amp; W Capital'!$D$15))+(E100*'5.Closing Stock &amp; W Capital'!$D$15))*$C168*G$124</f>
        <v>0</v>
      </c>
      <c r="H168" s="92">
        <f>((G100*(1-'5.Closing Stock &amp; W Capital'!$D$15))+(F100*'5.Closing Stock &amp; W Capital'!$D$15))*$C168*H$124</f>
        <v>0</v>
      </c>
      <c r="I168" s="92">
        <f>((H100*(1-'5.Closing Stock &amp; W Capital'!$D$15))+(G100*'5.Closing Stock &amp; W Capital'!$D$15))*$C168*I$124</f>
        <v>0</v>
      </c>
      <c r="J168" s="92">
        <f>((I100*(1-'5.Closing Stock &amp; W Capital'!$D$15))+(H100*'5.Closing Stock &amp; W Capital'!$D$15))*$C168*J$124</f>
        <v>0</v>
      </c>
      <c r="K168" s="90"/>
      <c r="U168" s="90"/>
      <c r="V168" s="90"/>
      <c r="W168" s="90"/>
    </row>
    <row r="169" spans="1:23">
      <c r="A169" s="91">
        <f t="shared" si="53"/>
        <v>0</v>
      </c>
      <c r="B169" s="91"/>
      <c r="C169" s="244"/>
      <c r="D169" s="92">
        <f>(C101*(1-'5.Closing Stock &amp; W Capital'!$D$15))*$C169*D$124</f>
        <v>0</v>
      </c>
      <c r="E169" s="92">
        <f>((D101*(1-'5.Closing Stock &amp; W Capital'!$D$15))+(C101*'5.Closing Stock &amp; W Capital'!$D$15))*$C169*E$124</f>
        <v>0</v>
      </c>
      <c r="F169" s="92">
        <f>((E101*(1-'5.Closing Stock &amp; W Capital'!$D$15))+(D101*'5.Closing Stock &amp; W Capital'!$D$15))*$C169*F$124</f>
        <v>0</v>
      </c>
      <c r="G169" s="92">
        <f>((F101*(1-'5.Closing Stock &amp; W Capital'!$D$15))+(E101*'5.Closing Stock &amp; W Capital'!$D$15))*$C169*G$124</f>
        <v>0</v>
      </c>
      <c r="H169" s="92">
        <f>((G101*(1-'5.Closing Stock &amp; W Capital'!$D$15))+(F101*'5.Closing Stock &amp; W Capital'!$D$15))*$C169*H$124</f>
        <v>0</v>
      </c>
      <c r="I169" s="92">
        <f>((H101*(1-'5.Closing Stock &amp; W Capital'!$D$15))+(G101*'5.Closing Stock &amp; W Capital'!$D$15))*$C169*I$124</f>
        <v>0</v>
      </c>
      <c r="J169" s="92">
        <f>((I101*(1-'5.Closing Stock &amp; W Capital'!$D$15))+(H101*'5.Closing Stock &amp; W Capital'!$D$15))*$C169*J$124</f>
        <v>0</v>
      </c>
      <c r="K169" s="90"/>
      <c r="U169" s="90"/>
      <c r="V169" s="90"/>
      <c r="W169" s="90"/>
    </row>
    <row r="170" spans="1:23">
      <c r="A170" s="91">
        <f t="shared" si="53"/>
        <v>0</v>
      </c>
      <c r="B170" s="91"/>
      <c r="C170" s="244"/>
      <c r="D170" s="92">
        <f>(C102*(1-'5.Closing Stock &amp; W Capital'!$D$15))*$C170*D$124</f>
        <v>0</v>
      </c>
      <c r="E170" s="92">
        <f>((D102*(1-'5.Closing Stock &amp; W Capital'!$D$15))+(C102*'5.Closing Stock &amp; W Capital'!$D$15))*$C170*E$124</f>
        <v>0</v>
      </c>
      <c r="F170" s="92">
        <f>((E102*(1-'5.Closing Stock &amp; W Capital'!$D$15))+(D102*'5.Closing Stock &amp; W Capital'!$D$15))*$C170*F$124</f>
        <v>0</v>
      </c>
      <c r="G170" s="92">
        <f>((F102*(1-'5.Closing Stock &amp; W Capital'!$D$15))+(E102*'5.Closing Stock &amp; W Capital'!$D$15))*$C170*G$124</f>
        <v>0</v>
      </c>
      <c r="H170" s="92">
        <f>((G102*(1-'5.Closing Stock &amp; W Capital'!$D$15))+(F102*'5.Closing Stock &amp; W Capital'!$D$15))*$C170*H$124</f>
        <v>0</v>
      </c>
      <c r="I170" s="92">
        <f>((H102*(1-'5.Closing Stock &amp; W Capital'!$D$15))+(G102*'5.Closing Stock &amp; W Capital'!$D$15))*$C170*I$124</f>
        <v>0</v>
      </c>
      <c r="J170" s="92">
        <f>((I102*(1-'5.Closing Stock &amp; W Capital'!$D$15))+(H102*'5.Closing Stock &amp; W Capital'!$D$15))*$C170*J$124</f>
        <v>0</v>
      </c>
      <c r="K170" s="90"/>
      <c r="U170" s="90"/>
      <c r="V170" s="90"/>
      <c r="W170" s="90"/>
    </row>
    <row r="171" spans="1:23">
      <c r="A171" s="91">
        <f t="shared" si="53"/>
        <v>0</v>
      </c>
      <c r="B171" s="91"/>
      <c r="C171" s="244"/>
      <c r="D171" s="92">
        <f>(C103*(1-'5.Closing Stock &amp; W Capital'!$D$15))*$C171*D$124</f>
        <v>0</v>
      </c>
      <c r="E171" s="92">
        <f>((D103*(1-'5.Closing Stock &amp; W Capital'!$D$15))+(C103*'5.Closing Stock &amp; W Capital'!$D$15))*$C171*E$124</f>
        <v>0</v>
      </c>
      <c r="F171" s="92">
        <f>((E103*(1-'5.Closing Stock &amp; W Capital'!$D$15))+(D103*'5.Closing Stock &amp; W Capital'!$D$15))*$C171*F$124</f>
        <v>0</v>
      </c>
      <c r="G171" s="92">
        <f>((F103*(1-'5.Closing Stock &amp; W Capital'!$D$15))+(E103*'5.Closing Stock &amp; W Capital'!$D$15))*$C171*G$124</f>
        <v>0</v>
      </c>
      <c r="H171" s="92">
        <f>((G103*(1-'5.Closing Stock &amp; W Capital'!$D$15))+(F103*'5.Closing Stock &amp; W Capital'!$D$15))*$C171*H$124</f>
        <v>0</v>
      </c>
      <c r="I171" s="92">
        <f>((H103*(1-'5.Closing Stock &amp; W Capital'!$D$15))+(G103*'5.Closing Stock &amp; W Capital'!$D$15))*$C171*I$124</f>
        <v>0</v>
      </c>
      <c r="J171" s="92">
        <f>((I103*(1-'5.Closing Stock &amp; W Capital'!$D$15))+(H103*'5.Closing Stock &amp; W Capital'!$D$15))*$C171*J$124</f>
        <v>0</v>
      </c>
      <c r="K171" s="90"/>
      <c r="U171" s="90"/>
      <c r="V171" s="90"/>
      <c r="W171" s="90"/>
    </row>
    <row r="172" spans="1:23">
      <c r="A172" s="91">
        <f t="shared" si="53"/>
        <v>0</v>
      </c>
      <c r="B172" s="91"/>
      <c r="C172" s="244"/>
      <c r="D172" s="92">
        <f>(C104*(1-'5.Closing Stock &amp; W Capital'!$D$15))*$C172*D$124</f>
        <v>0</v>
      </c>
      <c r="E172" s="92">
        <f>((D104*(1-'5.Closing Stock &amp; W Capital'!$D$15))+(C104*'5.Closing Stock &amp; W Capital'!$D$15))*$C172*E$124</f>
        <v>0</v>
      </c>
      <c r="F172" s="92">
        <f>((E104*(1-'5.Closing Stock &amp; W Capital'!$D$15))+(D104*'5.Closing Stock &amp; W Capital'!$D$15))*$C172*F$124</f>
        <v>0</v>
      </c>
      <c r="G172" s="92">
        <f>((F104*(1-'5.Closing Stock &amp; W Capital'!$D$15))+(E104*'5.Closing Stock &amp; W Capital'!$D$15))*$C172*G$124</f>
        <v>0</v>
      </c>
      <c r="H172" s="92">
        <f>((G104*(1-'5.Closing Stock &amp; W Capital'!$D$15))+(F104*'5.Closing Stock &amp; W Capital'!$D$15))*$C172*H$124</f>
        <v>0</v>
      </c>
      <c r="I172" s="92">
        <f>((H104*(1-'5.Closing Stock &amp; W Capital'!$D$15))+(G104*'5.Closing Stock &amp; W Capital'!$D$15))*$C172*I$124</f>
        <v>0</v>
      </c>
      <c r="J172" s="92">
        <f>((I104*(1-'5.Closing Stock &amp; W Capital'!$D$15))+(H104*'5.Closing Stock &amp; W Capital'!$D$15))*$C172*J$124</f>
        <v>0</v>
      </c>
      <c r="K172" s="90"/>
      <c r="U172" s="90"/>
      <c r="V172" s="90"/>
      <c r="W172" s="90"/>
    </row>
    <row r="173" spans="1:23">
      <c r="A173" s="91">
        <f t="shared" si="53"/>
        <v>0</v>
      </c>
      <c r="B173" s="91"/>
      <c r="C173" s="244"/>
      <c r="D173" s="92">
        <f>(C105*(1-'5.Closing Stock &amp; W Capital'!$D$15))*$C173*D$124</f>
        <v>0</v>
      </c>
      <c r="E173" s="92">
        <f>((D105*(1-'5.Closing Stock &amp; W Capital'!$D$15))+(C105*'5.Closing Stock &amp; W Capital'!$D$15))*$C173*E$124</f>
        <v>0</v>
      </c>
      <c r="F173" s="92">
        <f>((E105*(1-'5.Closing Stock &amp; W Capital'!$D$15))+(D105*'5.Closing Stock &amp; W Capital'!$D$15))*$C173*F$124</f>
        <v>0</v>
      </c>
      <c r="G173" s="92">
        <f>((F105*(1-'5.Closing Stock &amp; W Capital'!$D$15))+(E105*'5.Closing Stock &amp; W Capital'!$D$15))*$C173*G$124</f>
        <v>0</v>
      </c>
      <c r="H173" s="92">
        <f>((G105*(1-'5.Closing Stock &amp; W Capital'!$D$15))+(F105*'5.Closing Stock &amp; W Capital'!$D$15))*$C173*H$124</f>
        <v>0</v>
      </c>
      <c r="I173" s="92">
        <f>((H105*(1-'5.Closing Stock &amp; W Capital'!$D$15))+(G105*'5.Closing Stock &amp; W Capital'!$D$15))*$C173*I$124</f>
        <v>0</v>
      </c>
      <c r="J173" s="92">
        <f>((I105*(1-'5.Closing Stock &amp; W Capital'!$D$15))+(H105*'5.Closing Stock &amp; W Capital'!$D$15))*$C173*J$124</f>
        <v>0</v>
      </c>
      <c r="K173" s="90"/>
      <c r="U173" s="90"/>
      <c r="V173" s="90"/>
      <c r="W173" s="90"/>
    </row>
    <row r="174" spans="1:23">
      <c r="A174" s="91">
        <f t="shared" si="53"/>
        <v>0</v>
      </c>
      <c r="B174" s="91"/>
      <c r="C174" s="244"/>
      <c r="D174" s="92">
        <f>(C106*(1-'5.Closing Stock &amp; W Capital'!$D$15))*$C174*D$124</f>
        <v>0</v>
      </c>
      <c r="E174" s="92">
        <f>((D106*(1-'5.Closing Stock &amp; W Capital'!$D$15))+(C106*'5.Closing Stock &amp; W Capital'!$D$15))*$C174*E$124</f>
        <v>0</v>
      </c>
      <c r="F174" s="92">
        <f>((E106*(1-'5.Closing Stock &amp; W Capital'!$D$15))+(D106*'5.Closing Stock &amp; W Capital'!$D$15))*$C174*F$124</f>
        <v>0</v>
      </c>
      <c r="G174" s="92">
        <f>((F106*(1-'5.Closing Stock &amp; W Capital'!$D$15))+(E106*'5.Closing Stock &amp; W Capital'!$D$15))*$C174*G$124</f>
        <v>0</v>
      </c>
      <c r="H174" s="92">
        <f>((G106*(1-'5.Closing Stock &amp; W Capital'!$D$15))+(F106*'5.Closing Stock &amp; W Capital'!$D$15))*$C174*H$124</f>
        <v>0</v>
      </c>
      <c r="I174" s="92">
        <f>((H106*(1-'5.Closing Stock &amp; W Capital'!$D$15))+(G106*'5.Closing Stock &amp; W Capital'!$D$15))*$C174*I$124</f>
        <v>0</v>
      </c>
      <c r="J174" s="92">
        <f>((I106*(1-'5.Closing Stock &amp; W Capital'!$D$15))+(H106*'5.Closing Stock &amp; W Capital'!$D$15))*$C174*J$124</f>
        <v>0</v>
      </c>
      <c r="K174" s="90"/>
      <c r="U174" s="90"/>
      <c r="V174" s="90"/>
      <c r="W174" s="90"/>
    </row>
    <row r="175" spans="1:23">
      <c r="A175" s="91" t="str">
        <f t="shared" si="53"/>
        <v>Pomegranate</v>
      </c>
      <c r="B175" s="91"/>
      <c r="C175" s="244"/>
      <c r="D175" s="92">
        <f>(C107*(1-'5.Closing Stock &amp; W Capital'!$D$15))*$C175*D$124</f>
        <v>0</v>
      </c>
      <c r="E175" s="92">
        <f>((D107*(1-'5.Closing Stock &amp; W Capital'!$D$15))+(C107*'5.Closing Stock &amp; W Capital'!$D$15))*$C175*E$124</f>
        <v>0</v>
      </c>
      <c r="F175" s="92">
        <f>((E107*(1-'5.Closing Stock &amp; W Capital'!$D$15))+(D107*'5.Closing Stock &amp; W Capital'!$D$15))*$C175*F$124</f>
        <v>0</v>
      </c>
      <c r="G175" s="92">
        <f>((F107*(1-'5.Closing Stock &amp; W Capital'!$D$15))+(E107*'5.Closing Stock &amp; W Capital'!$D$15))*$C175*G$124</f>
        <v>0</v>
      </c>
      <c r="H175" s="92">
        <f>((G107*(1-'5.Closing Stock &amp; W Capital'!$D$15))+(F107*'5.Closing Stock &amp; W Capital'!$D$15))*$C175*H$124</f>
        <v>0</v>
      </c>
      <c r="I175" s="92">
        <f>((H107*(1-'5.Closing Stock &amp; W Capital'!$D$15))+(G107*'5.Closing Stock &amp; W Capital'!$D$15))*$C175*I$124</f>
        <v>0</v>
      </c>
      <c r="J175" s="92">
        <f>((I107*(1-'5.Closing Stock &amp; W Capital'!$D$15))+(H107*'5.Closing Stock &amp; W Capital'!$D$15))*$C175*J$124</f>
        <v>0</v>
      </c>
      <c r="K175" s="90"/>
      <c r="U175" s="90"/>
      <c r="V175" s="90"/>
      <c r="W175" s="90"/>
    </row>
    <row r="176" spans="1:23">
      <c r="A176" s="91" t="str">
        <f t="shared" si="53"/>
        <v>Custard Apple</v>
      </c>
      <c r="B176" s="91"/>
      <c r="C176" s="244"/>
      <c r="D176" s="92">
        <f>(C108*(1-'5.Closing Stock &amp; W Capital'!$D$15))*$C176*D$124</f>
        <v>0</v>
      </c>
      <c r="E176" s="92">
        <f>((D108*(1-'5.Closing Stock &amp; W Capital'!$D$15))+(C108*'5.Closing Stock &amp; W Capital'!$D$15))*$C176*E$124</f>
        <v>0</v>
      </c>
      <c r="F176" s="92">
        <f>((E108*(1-'5.Closing Stock &amp; W Capital'!$D$15))+(D108*'5.Closing Stock &amp; W Capital'!$D$15))*$C176*F$124</f>
        <v>0</v>
      </c>
      <c r="G176" s="92">
        <f>((F108*(1-'5.Closing Stock &amp; W Capital'!$D$15))+(E108*'5.Closing Stock &amp; W Capital'!$D$15))*$C176*G$124</f>
        <v>0</v>
      </c>
      <c r="H176" s="92">
        <f>((G108*(1-'5.Closing Stock &amp; W Capital'!$D$15))+(F108*'5.Closing Stock &amp; W Capital'!$D$15))*$C176*H$124</f>
        <v>0</v>
      </c>
      <c r="I176" s="92">
        <f>((H108*(1-'5.Closing Stock &amp; W Capital'!$D$15))+(G108*'5.Closing Stock &amp; W Capital'!$D$15))*$C176*I$124</f>
        <v>0</v>
      </c>
      <c r="J176" s="92">
        <f>((I108*(1-'5.Closing Stock &amp; W Capital'!$D$15))+(H108*'5.Closing Stock &amp; W Capital'!$D$15))*$C176*J$124</f>
        <v>0</v>
      </c>
      <c r="K176" s="90"/>
      <c r="U176" s="90"/>
      <c r="V176" s="90"/>
      <c r="W176" s="90"/>
    </row>
    <row r="177" spans="1:23">
      <c r="A177" s="91" t="str">
        <f t="shared" si="53"/>
        <v>Guava</v>
      </c>
      <c r="B177" s="91"/>
      <c r="C177" s="244"/>
      <c r="D177" s="92">
        <f>(C109*(1-'5.Closing Stock &amp; W Capital'!$D$15))*$C177*D$124</f>
        <v>0</v>
      </c>
      <c r="E177" s="92">
        <f>((D109*(1-'5.Closing Stock &amp; W Capital'!$D$15))+(C109*'5.Closing Stock &amp; W Capital'!$D$15))*$C177*E$124</f>
        <v>0</v>
      </c>
      <c r="F177" s="92">
        <f>((E109*(1-'5.Closing Stock &amp; W Capital'!$D$15))+(D109*'5.Closing Stock &amp; W Capital'!$D$15))*$C177*F$124</f>
        <v>0</v>
      </c>
      <c r="G177" s="92">
        <f>((F109*(1-'5.Closing Stock &amp; W Capital'!$D$15))+(E109*'5.Closing Stock &amp; W Capital'!$D$15))*$C177*G$124</f>
        <v>0</v>
      </c>
      <c r="H177" s="92">
        <f>((G109*(1-'5.Closing Stock &amp; W Capital'!$D$15))+(F109*'5.Closing Stock &amp; W Capital'!$D$15))*$C177*H$124</f>
        <v>0</v>
      </c>
      <c r="I177" s="92">
        <f>((H109*(1-'5.Closing Stock &amp; W Capital'!$D$15))+(G109*'5.Closing Stock &amp; W Capital'!$D$15))*$C177*I$124</f>
        <v>0</v>
      </c>
      <c r="J177" s="92">
        <f>((I109*(1-'5.Closing Stock &amp; W Capital'!$D$15))+(H109*'5.Closing Stock &amp; W Capital'!$D$15))*$C177*J$124</f>
        <v>0</v>
      </c>
      <c r="K177" s="90"/>
      <c r="U177" s="90"/>
      <c r="V177" s="90"/>
      <c r="W177" s="90"/>
    </row>
    <row r="178" spans="1:23">
      <c r="A178" s="91" t="str">
        <f t="shared" si="53"/>
        <v>Citrus</v>
      </c>
      <c r="B178" s="91"/>
      <c r="C178" s="244"/>
      <c r="D178" s="92">
        <f>(C110*(1-'5.Closing Stock &amp; W Capital'!$D$15))*$C178*D$124</f>
        <v>0</v>
      </c>
      <c r="E178" s="92">
        <f>((D110*(1-'5.Closing Stock &amp; W Capital'!$D$15))+(C110*'5.Closing Stock &amp; W Capital'!$D$15))*$C178*E$124</f>
        <v>0</v>
      </c>
      <c r="F178" s="92">
        <f>((E110*(1-'5.Closing Stock &amp; W Capital'!$D$15))+(D110*'5.Closing Stock &amp; W Capital'!$D$15))*$C178*F$124</f>
        <v>0</v>
      </c>
      <c r="G178" s="92">
        <f>((F110*(1-'5.Closing Stock &amp; W Capital'!$D$15))+(E110*'5.Closing Stock &amp; W Capital'!$D$15))*$C178*G$124</f>
        <v>0</v>
      </c>
      <c r="H178" s="92">
        <f>((G110*(1-'5.Closing Stock &amp; W Capital'!$D$15))+(F110*'5.Closing Stock &amp; W Capital'!$D$15))*$C178*H$124</f>
        <v>0</v>
      </c>
      <c r="I178" s="92">
        <f>((H110*(1-'5.Closing Stock &amp; W Capital'!$D$15))+(G110*'5.Closing Stock &amp; W Capital'!$D$15))*$C178*I$124</f>
        <v>0</v>
      </c>
      <c r="J178" s="92">
        <f>((I110*(1-'5.Closing Stock &amp; W Capital'!$D$15))+(H110*'5.Closing Stock &amp; W Capital'!$D$15))*$C178*J$124</f>
        <v>0</v>
      </c>
      <c r="K178" s="90"/>
      <c r="U178" s="90"/>
      <c r="V178" s="90"/>
      <c r="W178" s="90"/>
    </row>
    <row r="179" spans="1:23">
      <c r="A179" s="91">
        <f t="shared" si="53"/>
        <v>0</v>
      </c>
      <c r="B179" s="91"/>
      <c r="C179" s="244"/>
      <c r="D179" s="92"/>
      <c r="E179" s="92"/>
      <c r="F179" s="92"/>
      <c r="G179" s="92"/>
      <c r="H179" s="92"/>
      <c r="I179" s="92"/>
      <c r="J179" s="92"/>
      <c r="K179" s="90"/>
      <c r="U179" s="90"/>
      <c r="V179" s="90"/>
      <c r="W179" s="90"/>
    </row>
    <row r="180" spans="1:23">
      <c r="A180" s="91"/>
      <c r="B180" s="91"/>
      <c r="C180" s="92"/>
      <c r="D180" s="92"/>
      <c r="E180" s="92"/>
      <c r="F180" s="92"/>
      <c r="G180" s="92"/>
      <c r="H180" s="92"/>
      <c r="I180" s="92"/>
      <c r="J180" s="92"/>
      <c r="K180" s="90"/>
      <c r="U180" s="90"/>
      <c r="V180" s="90"/>
      <c r="W180" s="90"/>
    </row>
    <row r="181" spans="1:23">
      <c r="A181" s="91" t="s">
        <v>285</v>
      </c>
      <c r="B181" s="91"/>
      <c r="C181" s="92" t="s">
        <v>698</v>
      </c>
      <c r="D181" s="92"/>
      <c r="E181" s="92"/>
      <c r="F181" s="92"/>
      <c r="G181" s="92"/>
      <c r="H181" s="92"/>
      <c r="I181" s="92"/>
      <c r="J181" s="92"/>
      <c r="K181" s="90"/>
      <c r="U181" s="90"/>
      <c r="V181" s="90"/>
      <c r="W181" s="90"/>
    </row>
    <row r="182" spans="1:23">
      <c r="A182" s="91" t="s">
        <v>397</v>
      </c>
      <c r="B182" s="91"/>
      <c r="C182" s="244"/>
      <c r="D182" s="92">
        <f>(C114*(1-'5.Closing Stock &amp; W Capital'!$D$15))*$C$182*D124</f>
        <v>0</v>
      </c>
      <c r="E182" s="92">
        <f>((D114*(1-'5.Closing Stock &amp; W Capital'!$D$15))+(C114*'5.Closing Stock &amp; W Capital'!$D$15))*$C$182*E124</f>
        <v>0</v>
      </c>
      <c r="F182" s="92">
        <f>((E114*(1-'5.Closing Stock &amp; W Capital'!$D$15))+(D114*'5.Closing Stock &amp; W Capital'!$D$15))*$C$182*F124</f>
        <v>0</v>
      </c>
      <c r="G182" s="92">
        <f>((F114*(1-'5.Closing Stock &amp; W Capital'!$D$15))+(E114*'5.Closing Stock &amp; W Capital'!$D$15))*$C$182*G124</f>
        <v>0</v>
      </c>
      <c r="H182" s="92">
        <f>((G114*(1-'5.Closing Stock &amp; W Capital'!$D$15))+(F114*'5.Closing Stock &amp; W Capital'!$D$15))*$C$182*H124</f>
        <v>0</v>
      </c>
      <c r="I182" s="92">
        <f>((H114*(1-'5.Closing Stock &amp; W Capital'!$D$15))+(G114*'5.Closing Stock &amp; W Capital'!$D$15))*$C$182*I124</f>
        <v>0</v>
      </c>
      <c r="J182" s="92">
        <f>((I114*(1-'5.Closing Stock &amp; W Capital'!$D$15))+(H114*'5.Closing Stock &amp; W Capital'!$D$15))*$C$182*J124</f>
        <v>0</v>
      </c>
      <c r="K182" s="90"/>
      <c r="U182" s="90"/>
      <c r="V182" s="90"/>
      <c r="W182" s="90"/>
    </row>
    <row r="183" spans="1:23">
      <c r="A183" s="91" t="s">
        <v>179</v>
      </c>
      <c r="B183" s="91"/>
      <c r="C183" s="244"/>
      <c r="D183" s="92">
        <f>(C115*(1-'5.Closing Stock &amp; W Capital'!$D$15))*$C$183*D124</f>
        <v>0</v>
      </c>
      <c r="E183" s="92">
        <f>((D115*(1-'5.Closing Stock &amp; W Capital'!$D$15))+(C115*'5.Closing Stock &amp; W Capital'!$D$15))*$C$183*E124</f>
        <v>0</v>
      </c>
      <c r="F183" s="92">
        <f>((E115*(1-'5.Closing Stock &amp; W Capital'!$D$15))+(D115*'5.Closing Stock &amp; W Capital'!$D$15))*$C$183*F124</f>
        <v>0</v>
      </c>
      <c r="G183" s="92">
        <f>((F115*(1-'5.Closing Stock &amp; W Capital'!$D$15))+(E115*'5.Closing Stock &amp; W Capital'!$D$15))*$C$183*G124</f>
        <v>0</v>
      </c>
      <c r="H183" s="92">
        <f>((G115*(1-'5.Closing Stock &amp; W Capital'!$D$15))+(F115*'5.Closing Stock &amp; W Capital'!$D$15))*$C$183*H124</f>
        <v>0</v>
      </c>
      <c r="I183" s="92">
        <f>((H115*(1-'5.Closing Stock &amp; W Capital'!$D$15))+(G115*'5.Closing Stock &amp; W Capital'!$D$15))*$C$183*I124</f>
        <v>0</v>
      </c>
      <c r="J183" s="92">
        <f>((I115*(1-'5.Closing Stock &amp; W Capital'!$D$15))+(H115*'5.Closing Stock &amp; W Capital'!$D$15))*$C$183*J124</f>
        <v>0</v>
      </c>
      <c r="K183" s="90"/>
      <c r="U183" s="90"/>
      <c r="V183" s="90"/>
      <c r="W183" s="90"/>
    </row>
    <row r="184" spans="1:23">
      <c r="A184" s="91" t="s">
        <v>181</v>
      </c>
      <c r="B184" s="91"/>
      <c r="C184" s="244"/>
      <c r="D184" s="92">
        <f>(C116*(1-'5.Closing Stock &amp; W Capital'!$D$15))*$C$184*D124</f>
        <v>0</v>
      </c>
      <c r="E184" s="92">
        <f>((D116*(1-'5.Closing Stock &amp; W Capital'!$D$15))+(C116*'5.Closing Stock &amp; W Capital'!$D$15))*$C$184*E124</f>
        <v>0</v>
      </c>
      <c r="F184" s="92">
        <f>((E116*(1-'5.Closing Stock &amp; W Capital'!$D$15))+(D116*'5.Closing Stock &amp; W Capital'!$D$15))*$C$184*F124</f>
        <v>0</v>
      </c>
      <c r="G184" s="92">
        <f>((F116*(1-'5.Closing Stock &amp; W Capital'!$D$15))+(E116*'5.Closing Stock &amp; W Capital'!$D$15))*$C$184*G124</f>
        <v>0</v>
      </c>
      <c r="H184" s="92">
        <f>((G116*(1-'5.Closing Stock &amp; W Capital'!$D$15))+(F116*'5.Closing Stock &amp; W Capital'!$D$15))*$C$184*H124</f>
        <v>0</v>
      </c>
      <c r="I184" s="92">
        <f>((H116*(1-'5.Closing Stock &amp; W Capital'!$D$15))+(G116*'5.Closing Stock &amp; W Capital'!$D$15))*$C$184*I124</f>
        <v>0</v>
      </c>
      <c r="J184" s="92">
        <f>((I116*(1-'5.Closing Stock &amp; W Capital'!$D$15))+(H116*'5.Closing Stock &amp; W Capital'!$D$15))*$C$184*J124</f>
        <v>0</v>
      </c>
      <c r="K184" s="90"/>
      <c r="U184" s="90"/>
      <c r="V184" s="90"/>
      <c r="W184" s="90"/>
    </row>
    <row r="185" spans="1:23">
      <c r="A185" s="91"/>
      <c r="B185" s="91"/>
      <c r="C185" s="92"/>
      <c r="D185" s="92"/>
      <c r="E185" s="92"/>
      <c r="F185" s="92"/>
      <c r="G185" s="92"/>
      <c r="H185" s="92"/>
      <c r="I185" s="92"/>
      <c r="J185" s="92"/>
      <c r="K185" s="90"/>
      <c r="U185" s="90"/>
      <c r="V185" s="90"/>
      <c r="W185" s="90"/>
    </row>
    <row r="186" spans="1:23">
      <c r="A186" s="91" t="s">
        <v>180</v>
      </c>
      <c r="B186" s="91"/>
      <c r="C186" s="92" t="s">
        <v>699</v>
      </c>
      <c r="D186" s="92"/>
      <c r="E186" s="92"/>
      <c r="F186" s="92"/>
      <c r="G186" s="92"/>
      <c r="H186" s="92"/>
      <c r="I186" s="92"/>
      <c r="J186" s="92"/>
      <c r="K186" s="90"/>
      <c r="U186" s="90"/>
      <c r="V186" s="90"/>
      <c r="W186" s="90"/>
    </row>
    <row r="187" spans="1:23">
      <c r="A187" s="91" t="s">
        <v>184</v>
      </c>
      <c r="B187" s="91"/>
      <c r="C187" s="244"/>
      <c r="D187" s="92">
        <f>(C118*(1-'5.Closing Stock &amp; W Capital'!$D$15))*$C$187*D124</f>
        <v>0</v>
      </c>
      <c r="E187" s="92">
        <f>((D118*(1-'5.Closing Stock &amp; W Capital'!$D$15))+(C118*'5.Closing Stock &amp; W Capital'!$D$15))*$C$187*E124</f>
        <v>0</v>
      </c>
      <c r="F187" s="92">
        <f>((E118*(1-'5.Closing Stock &amp; W Capital'!$D$15))+(D118*'5.Closing Stock &amp; W Capital'!$D$15))*$C$187*F124</f>
        <v>0</v>
      </c>
      <c r="G187" s="92">
        <f>((F118*(1-'5.Closing Stock &amp; W Capital'!$D$15))+(E118*'5.Closing Stock &amp; W Capital'!$D$15))*$C$187*G124</f>
        <v>0</v>
      </c>
      <c r="H187" s="92">
        <f>((G118*(1-'5.Closing Stock &amp; W Capital'!$D$15))+(F118*'5.Closing Stock &amp; W Capital'!$D$15))*$C$187*H124</f>
        <v>0</v>
      </c>
      <c r="I187" s="92">
        <f>((H118*(1-'5.Closing Stock &amp; W Capital'!$D$15))+(G118*'5.Closing Stock &amp; W Capital'!$D$15))*$C$187*I124</f>
        <v>0</v>
      </c>
      <c r="J187" s="92">
        <f>((I118*(1-'5.Closing Stock &amp; W Capital'!$D$15))+(H118*'5.Closing Stock &amp; W Capital'!$D$15))*$C$187*J124</f>
        <v>0</v>
      </c>
      <c r="K187" s="90"/>
      <c r="U187" s="201"/>
      <c r="V187" s="201"/>
      <c r="W187" s="201"/>
    </row>
    <row r="188" spans="1:23">
      <c r="A188" s="91" t="s">
        <v>185</v>
      </c>
      <c r="B188" s="91"/>
      <c r="C188" s="244"/>
      <c r="D188" s="92">
        <f>(C119*(1-'5.Closing Stock &amp; W Capital'!$D$15))*$C$188*D124</f>
        <v>0</v>
      </c>
      <c r="E188" s="92">
        <f>((D119*(1-'5.Closing Stock &amp; W Capital'!$D$15))+(C119*'5.Closing Stock &amp; W Capital'!$D$15))*$C$188*E124</f>
        <v>0</v>
      </c>
      <c r="F188" s="92">
        <f>((E119*(1-'5.Closing Stock &amp; W Capital'!$D$15))+(D119*'5.Closing Stock &amp; W Capital'!$D$15))*$C$188*F124</f>
        <v>0</v>
      </c>
      <c r="G188" s="92">
        <f>((F119*(1-'5.Closing Stock &amp; W Capital'!$D$15))+(E119*'5.Closing Stock &amp; W Capital'!$D$15))*$C$188*G124</f>
        <v>0</v>
      </c>
      <c r="H188" s="92">
        <f>((G119*(1-'5.Closing Stock &amp; W Capital'!$D$15))+(F119*'5.Closing Stock &amp; W Capital'!$D$15))*$C$188*H124</f>
        <v>0</v>
      </c>
      <c r="I188" s="92">
        <f>((H119*(1-'5.Closing Stock &amp; W Capital'!$D$15))+(G119*'5.Closing Stock &amp; W Capital'!$D$15))*$C$188*I124</f>
        <v>0</v>
      </c>
      <c r="J188" s="92">
        <f>((I119*(1-'5.Closing Stock &amp; W Capital'!$D$15))+(H119*'5.Closing Stock &amp; W Capital'!$D$15))*$C$188*J124</f>
        <v>0</v>
      </c>
      <c r="K188" s="90"/>
      <c r="U188" s="90"/>
      <c r="V188" s="90"/>
      <c r="W188" s="90"/>
    </row>
    <row r="189" spans="1:23">
      <c r="A189" s="91"/>
      <c r="B189" s="91"/>
      <c r="C189" s="92"/>
      <c r="D189" s="92"/>
      <c r="E189" s="92"/>
      <c r="F189" s="92"/>
      <c r="G189" s="92"/>
      <c r="H189" s="92"/>
      <c r="I189" s="92"/>
      <c r="J189" s="92"/>
      <c r="K189" s="90"/>
      <c r="U189" s="90"/>
      <c r="V189" s="90"/>
      <c r="W189" s="90"/>
    </row>
    <row r="190" spans="1:23">
      <c r="A190" s="91"/>
      <c r="B190" s="91"/>
      <c r="C190" s="92"/>
      <c r="D190" s="92"/>
      <c r="E190" s="92"/>
      <c r="F190" s="92"/>
      <c r="G190" s="92"/>
      <c r="H190" s="92"/>
      <c r="I190" s="92"/>
      <c r="J190" s="92"/>
      <c r="K190" s="90"/>
      <c r="U190" s="90"/>
      <c r="V190" s="90"/>
      <c r="W190" s="90"/>
    </row>
    <row r="191" spans="1:23">
      <c r="A191" s="93" t="s">
        <v>144</v>
      </c>
      <c r="B191" s="93"/>
      <c r="C191" s="111"/>
      <c r="D191" s="111">
        <f>SUM(D130:D190)</f>
        <v>0</v>
      </c>
      <c r="E191" s="111">
        <f t="shared" ref="E191:J191" si="54">SUM(E130:E190)</f>
        <v>0</v>
      </c>
      <c r="F191" s="111">
        <f t="shared" si="54"/>
        <v>0</v>
      </c>
      <c r="G191" s="111">
        <f t="shared" si="54"/>
        <v>0</v>
      </c>
      <c r="H191" s="111">
        <f t="shared" si="54"/>
        <v>0</v>
      </c>
      <c r="I191" s="111">
        <f t="shared" si="54"/>
        <v>0</v>
      </c>
      <c r="J191" s="111">
        <f t="shared" si="54"/>
        <v>0</v>
      </c>
      <c r="K191" s="90"/>
      <c r="U191" s="90"/>
      <c r="V191" s="90"/>
      <c r="W191" s="90"/>
    </row>
    <row r="192" spans="1:23">
      <c r="A192" s="91"/>
      <c r="B192" s="91"/>
      <c r="C192" s="92"/>
      <c r="D192" s="92"/>
      <c r="E192" s="92"/>
      <c r="F192" s="92"/>
      <c r="G192" s="92"/>
      <c r="H192" s="92"/>
      <c r="I192" s="92"/>
      <c r="J192" s="92"/>
      <c r="K192" s="90"/>
      <c r="U192" s="90"/>
      <c r="V192" s="90"/>
      <c r="W192" s="90"/>
    </row>
    <row r="193" spans="1:23">
      <c r="A193" s="91"/>
      <c r="B193" s="91"/>
      <c r="C193" s="92"/>
      <c r="D193" s="92"/>
      <c r="E193" s="92"/>
      <c r="F193" s="92"/>
      <c r="G193" s="92"/>
      <c r="H193" s="92"/>
      <c r="I193" s="92"/>
      <c r="J193" s="92"/>
      <c r="K193" s="90"/>
      <c r="U193" s="90"/>
      <c r="V193" s="90"/>
      <c r="W193" s="90"/>
    </row>
    <row r="194" spans="1:23">
      <c r="A194" s="93" t="s">
        <v>143</v>
      </c>
      <c r="B194" s="93"/>
      <c r="C194" s="92"/>
      <c r="D194" s="92"/>
      <c r="E194" s="92"/>
      <c r="F194" s="92"/>
      <c r="G194" s="92"/>
      <c r="H194" s="92"/>
      <c r="I194" s="92"/>
      <c r="J194" s="92"/>
      <c r="K194" s="90"/>
      <c r="U194" s="90"/>
      <c r="V194" s="90"/>
      <c r="W194" s="90"/>
    </row>
    <row r="195" spans="1:23">
      <c r="A195" s="93" t="str">
        <f>A128</f>
        <v>Seeds (Rate/KG)</v>
      </c>
      <c r="B195" s="93"/>
      <c r="C195" s="92"/>
      <c r="D195" s="92"/>
      <c r="E195" s="92"/>
      <c r="F195" s="92"/>
      <c r="G195" s="92"/>
      <c r="H195" s="92"/>
      <c r="I195" s="92"/>
      <c r="J195" s="92"/>
      <c r="K195" s="90"/>
      <c r="U195" s="90"/>
      <c r="V195" s="90"/>
      <c r="W195" s="90"/>
    </row>
    <row r="196" spans="1:23">
      <c r="A196" s="93" t="s">
        <v>307</v>
      </c>
      <c r="B196" s="91"/>
      <c r="C196" s="91"/>
      <c r="D196" s="91"/>
      <c r="E196" s="91"/>
      <c r="F196" s="91"/>
      <c r="G196" s="91"/>
      <c r="H196" s="91"/>
      <c r="I196" s="91"/>
      <c r="J196" s="91"/>
      <c r="K196" s="90"/>
      <c r="U196" s="90"/>
      <c r="V196" s="90"/>
      <c r="W196" s="90"/>
    </row>
    <row r="197" spans="1:23">
      <c r="A197" s="93" t="s">
        <v>701</v>
      </c>
      <c r="B197" s="91"/>
      <c r="C197" s="91"/>
      <c r="D197" s="91"/>
      <c r="E197" s="91"/>
      <c r="F197" s="91"/>
      <c r="G197" s="91"/>
      <c r="H197" s="91"/>
      <c r="I197" s="91"/>
      <c r="J197" s="91"/>
      <c r="K197" s="90"/>
      <c r="U197" s="90"/>
      <c r="V197" s="90"/>
      <c r="W197" s="90"/>
    </row>
    <row r="198" spans="1:23">
      <c r="A198" s="372" t="str">
        <f t="shared" ref="A198:A239" si="55">A130</f>
        <v>Soybean</v>
      </c>
      <c r="B198" s="90"/>
      <c r="C198" s="373"/>
      <c r="D198" s="374">
        <f t="shared" ref="D198:J207" si="56">C62*$C198*D$124</f>
        <v>0</v>
      </c>
      <c r="E198" s="374">
        <f t="shared" si="56"/>
        <v>0</v>
      </c>
      <c r="F198" s="374">
        <f t="shared" si="56"/>
        <v>0</v>
      </c>
      <c r="G198" s="374">
        <f t="shared" si="56"/>
        <v>0</v>
      </c>
      <c r="H198" s="374">
        <f t="shared" si="56"/>
        <v>0</v>
      </c>
      <c r="I198" s="374">
        <f t="shared" si="56"/>
        <v>0</v>
      </c>
      <c r="J198" s="374">
        <f t="shared" si="56"/>
        <v>0</v>
      </c>
      <c r="K198" s="90"/>
      <c r="U198" s="90"/>
      <c r="V198" s="90"/>
      <c r="W198" s="90"/>
    </row>
    <row r="199" spans="1:23">
      <c r="A199" s="91" t="str">
        <f t="shared" si="55"/>
        <v>Red Gram/Tur</v>
      </c>
      <c r="B199" s="91"/>
      <c r="C199" s="244"/>
      <c r="D199" s="92">
        <f t="shared" si="56"/>
        <v>0</v>
      </c>
      <c r="E199" s="92">
        <f t="shared" si="56"/>
        <v>0</v>
      </c>
      <c r="F199" s="92">
        <f t="shared" si="56"/>
        <v>0</v>
      </c>
      <c r="G199" s="92">
        <f t="shared" si="56"/>
        <v>0</v>
      </c>
      <c r="H199" s="92">
        <f t="shared" si="56"/>
        <v>0</v>
      </c>
      <c r="I199" s="92">
        <f t="shared" si="56"/>
        <v>0</v>
      </c>
      <c r="J199" s="92">
        <f t="shared" si="56"/>
        <v>0</v>
      </c>
      <c r="K199" s="90"/>
      <c r="U199" s="90"/>
      <c r="V199" s="90"/>
      <c r="W199" s="90"/>
    </row>
    <row r="200" spans="1:23">
      <c r="A200" s="91" t="str">
        <f t="shared" si="55"/>
        <v>Paddy/Rice</v>
      </c>
      <c r="B200" s="91"/>
      <c r="C200" s="244"/>
      <c r="D200" s="92">
        <f t="shared" si="56"/>
        <v>0</v>
      </c>
      <c r="E200" s="92">
        <f t="shared" si="56"/>
        <v>0</v>
      </c>
      <c r="F200" s="92">
        <f t="shared" si="56"/>
        <v>0</v>
      </c>
      <c r="G200" s="92">
        <f t="shared" si="56"/>
        <v>0</v>
      </c>
      <c r="H200" s="92">
        <f t="shared" si="56"/>
        <v>0</v>
      </c>
      <c r="I200" s="92">
        <f t="shared" si="56"/>
        <v>0</v>
      </c>
      <c r="J200" s="92">
        <f t="shared" si="56"/>
        <v>0</v>
      </c>
      <c r="K200" s="90"/>
      <c r="U200" s="90"/>
      <c r="V200" s="90"/>
      <c r="W200" s="90"/>
    </row>
    <row r="201" spans="1:23">
      <c r="A201" s="91" t="str">
        <f t="shared" si="55"/>
        <v>Green Gram/ Moong</v>
      </c>
      <c r="B201" s="91"/>
      <c r="C201" s="244"/>
      <c r="D201" s="92">
        <f t="shared" si="56"/>
        <v>0</v>
      </c>
      <c r="E201" s="92">
        <f t="shared" si="56"/>
        <v>0</v>
      </c>
      <c r="F201" s="92">
        <f t="shared" si="56"/>
        <v>0</v>
      </c>
      <c r="G201" s="92">
        <f t="shared" si="56"/>
        <v>0</v>
      </c>
      <c r="H201" s="92">
        <f t="shared" si="56"/>
        <v>0</v>
      </c>
      <c r="I201" s="92">
        <f t="shared" si="56"/>
        <v>0</v>
      </c>
      <c r="J201" s="92">
        <f t="shared" si="56"/>
        <v>0</v>
      </c>
      <c r="K201" s="90"/>
      <c r="L201" s="90"/>
      <c r="M201" s="90"/>
      <c r="N201" s="90"/>
      <c r="O201" s="90"/>
      <c r="P201" s="90"/>
      <c r="Q201" s="90"/>
      <c r="R201" s="90"/>
      <c r="S201" s="90"/>
      <c r="T201" s="90"/>
      <c r="U201" s="90"/>
      <c r="V201" s="90"/>
      <c r="W201" s="90"/>
    </row>
    <row r="202" spans="1:23">
      <c r="A202" s="91" t="str">
        <f t="shared" si="55"/>
        <v>Maize</v>
      </c>
      <c r="B202" s="91"/>
      <c r="C202" s="244"/>
      <c r="D202" s="92">
        <f t="shared" si="56"/>
        <v>0</v>
      </c>
      <c r="E202" s="92">
        <f t="shared" si="56"/>
        <v>0</v>
      </c>
      <c r="F202" s="92">
        <f t="shared" si="56"/>
        <v>0</v>
      </c>
      <c r="G202" s="92">
        <f t="shared" si="56"/>
        <v>0</v>
      </c>
      <c r="H202" s="92">
        <f t="shared" si="56"/>
        <v>0</v>
      </c>
      <c r="I202" s="92">
        <f t="shared" si="56"/>
        <v>0</v>
      </c>
      <c r="J202" s="92">
        <f t="shared" si="56"/>
        <v>0</v>
      </c>
      <c r="K202" s="90"/>
      <c r="L202" s="90"/>
      <c r="M202" s="90"/>
      <c r="N202" s="90"/>
      <c r="O202" s="90"/>
      <c r="P202" s="90"/>
      <c r="Q202" s="90"/>
      <c r="R202" s="90"/>
      <c r="S202" s="90"/>
      <c r="T202" s="90"/>
      <c r="U202" s="90"/>
      <c r="V202" s="90"/>
      <c r="W202" s="90"/>
    </row>
    <row r="203" spans="1:23">
      <c r="A203" s="91" t="str">
        <f t="shared" si="55"/>
        <v>Black Gram/Udid</v>
      </c>
      <c r="B203" s="91"/>
      <c r="C203" s="244"/>
      <c r="D203" s="92">
        <f t="shared" si="56"/>
        <v>0</v>
      </c>
      <c r="E203" s="92">
        <f t="shared" si="56"/>
        <v>0</v>
      </c>
      <c r="F203" s="92">
        <f t="shared" si="56"/>
        <v>0</v>
      </c>
      <c r="G203" s="92">
        <f t="shared" si="56"/>
        <v>0</v>
      </c>
      <c r="H203" s="92">
        <f t="shared" si="56"/>
        <v>0</v>
      </c>
      <c r="I203" s="92">
        <f t="shared" si="56"/>
        <v>0</v>
      </c>
      <c r="J203" s="92">
        <f t="shared" si="56"/>
        <v>0</v>
      </c>
      <c r="K203" s="90"/>
      <c r="L203" s="90"/>
      <c r="M203" s="90"/>
      <c r="N203" s="90"/>
      <c r="O203" s="90"/>
      <c r="P203" s="90"/>
      <c r="Q203" s="90"/>
      <c r="R203" s="90"/>
      <c r="S203" s="90"/>
      <c r="T203" s="90"/>
      <c r="U203" s="90"/>
      <c r="V203" s="90"/>
      <c r="W203" s="90"/>
    </row>
    <row r="204" spans="1:23">
      <c r="A204" s="91" t="str">
        <f t="shared" si="55"/>
        <v>Bajra</v>
      </c>
      <c r="B204" s="91"/>
      <c r="C204" s="244"/>
      <c r="D204" s="92">
        <f t="shared" si="56"/>
        <v>0</v>
      </c>
      <c r="E204" s="92">
        <f t="shared" si="56"/>
        <v>0</v>
      </c>
      <c r="F204" s="92">
        <f t="shared" si="56"/>
        <v>0</v>
      </c>
      <c r="G204" s="92">
        <f t="shared" si="56"/>
        <v>0</v>
      </c>
      <c r="H204" s="92">
        <f t="shared" si="56"/>
        <v>0</v>
      </c>
      <c r="I204" s="92">
        <f t="shared" si="56"/>
        <v>0</v>
      </c>
      <c r="J204" s="92">
        <f t="shared" si="56"/>
        <v>0</v>
      </c>
      <c r="K204" s="90"/>
      <c r="L204" s="90"/>
      <c r="M204" s="90"/>
      <c r="N204" s="90"/>
      <c r="O204" s="90"/>
      <c r="P204" s="90"/>
      <c r="Q204" s="90"/>
      <c r="R204" s="90"/>
      <c r="S204" s="90"/>
      <c r="T204" s="90"/>
      <c r="U204" s="90"/>
      <c r="V204" s="90"/>
      <c r="W204" s="90"/>
    </row>
    <row r="205" spans="1:23">
      <c r="A205" s="91" t="str">
        <f t="shared" si="55"/>
        <v>Jawar</v>
      </c>
      <c r="B205" s="91"/>
      <c r="C205" s="244"/>
      <c r="D205" s="92">
        <f t="shared" si="56"/>
        <v>0</v>
      </c>
      <c r="E205" s="92">
        <f t="shared" si="56"/>
        <v>0</v>
      </c>
      <c r="F205" s="92">
        <f t="shared" si="56"/>
        <v>0</v>
      </c>
      <c r="G205" s="92">
        <f t="shared" si="56"/>
        <v>0</v>
      </c>
      <c r="H205" s="92">
        <f t="shared" si="56"/>
        <v>0</v>
      </c>
      <c r="I205" s="92">
        <f t="shared" si="56"/>
        <v>0</v>
      </c>
      <c r="J205" s="92">
        <f t="shared" si="56"/>
        <v>0</v>
      </c>
      <c r="K205" s="90"/>
      <c r="L205" s="90"/>
      <c r="M205" s="90"/>
      <c r="N205" s="90"/>
      <c r="O205" s="90"/>
      <c r="P205" s="90"/>
      <c r="Q205" s="90"/>
      <c r="R205" s="90"/>
      <c r="S205" s="90"/>
      <c r="T205" s="90"/>
      <c r="U205" s="90"/>
      <c r="V205" s="90"/>
      <c r="W205" s="90"/>
    </row>
    <row r="206" spans="1:23">
      <c r="A206" s="93" t="str">
        <f t="shared" si="55"/>
        <v>Rabi Crop</v>
      </c>
      <c r="B206" s="91"/>
      <c r="C206" s="244"/>
      <c r="D206" s="92">
        <f t="shared" si="56"/>
        <v>0</v>
      </c>
      <c r="E206" s="92">
        <f t="shared" si="56"/>
        <v>0</v>
      </c>
      <c r="F206" s="92">
        <f t="shared" si="56"/>
        <v>0</v>
      </c>
      <c r="G206" s="92">
        <f t="shared" si="56"/>
        <v>0</v>
      </c>
      <c r="H206" s="92">
        <f t="shared" si="56"/>
        <v>0</v>
      </c>
      <c r="I206" s="92">
        <f t="shared" si="56"/>
        <v>0</v>
      </c>
      <c r="J206" s="92">
        <f t="shared" si="56"/>
        <v>0</v>
      </c>
      <c r="K206" s="90"/>
      <c r="L206" s="90"/>
      <c r="M206" s="90"/>
      <c r="N206" s="90"/>
      <c r="O206" s="90"/>
      <c r="P206" s="90"/>
      <c r="Q206" s="90"/>
      <c r="R206" s="90"/>
      <c r="S206" s="90"/>
      <c r="T206" s="90"/>
      <c r="U206" s="90"/>
      <c r="V206" s="90"/>
      <c r="W206" s="90"/>
    </row>
    <row r="207" spans="1:23">
      <c r="A207" s="91" t="str">
        <f t="shared" si="55"/>
        <v>Wheat</v>
      </c>
      <c r="B207" s="91"/>
      <c r="C207" s="244"/>
      <c r="D207" s="92">
        <f t="shared" si="56"/>
        <v>0</v>
      </c>
      <c r="E207" s="92">
        <f t="shared" si="56"/>
        <v>0</v>
      </c>
      <c r="F207" s="92">
        <f t="shared" si="56"/>
        <v>0</v>
      </c>
      <c r="G207" s="92">
        <f t="shared" si="56"/>
        <v>0</v>
      </c>
      <c r="H207" s="92">
        <f t="shared" si="56"/>
        <v>0</v>
      </c>
      <c r="I207" s="92">
        <f t="shared" si="56"/>
        <v>0</v>
      </c>
      <c r="J207" s="92">
        <f t="shared" si="56"/>
        <v>0</v>
      </c>
      <c r="K207" s="90"/>
      <c r="L207" s="90"/>
      <c r="M207" s="90"/>
      <c r="N207" s="90"/>
      <c r="O207" s="90"/>
      <c r="P207" s="90"/>
      <c r="Q207" s="90"/>
      <c r="R207" s="90"/>
      <c r="S207" s="90"/>
      <c r="T207" s="90"/>
      <c r="U207" s="90"/>
      <c r="V207" s="90"/>
      <c r="W207" s="90"/>
    </row>
    <row r="208" spans="1:23">
      <c r="A208" s="91" t="str">
        <f t="shared" si="55"/>
        <v>Bengal Gram/Channa</v>
      </c>
      <c r="B208" s="91"/>
      <c r="C208" s="244"/>
      <c r="D208" s="92">
        <f t="shared" ref="D208:J217" si="57">C72*$C208*D$124</f>
        <v>0</v>
      </c>
      <c r="E208" s="92">
        <f t="shared" si="57"/>
        <v>0</v>
      </c>
      <c r="F208" s="92">
        <f t="shared" si="57"/>
        <v>0</v>
      </c>
      <c r="G208" s="92">
        <f t="shared" si="57"/>
        <v>0</v>
      </c>
      <c r="H208" s="92">
        <f t="shared" si="57"/>
        <v>0</v>
      </c>
      <c r="I208" s="92">
        <f t="shared" si="57"/>
        <v>0</v>
      </c>
      <c r="J208" s="92">
        <f t="shared" si="57"/>
        <v>0</v>
      </c>
      <c r="K208" s="90"/>
      <c r="L208" s="90"/>
      <c r="M208" s="90"/>
      <c r="N208" s="90"/>
      <c r="O208" s="90"/>
      <c r="P208" s="90"/>
      <c r="Q208" s="90"/>
      <c r="R208" s="90"/>
      <c r="S208" s="90"/>
      <c r="T208" s="90"/>
      <c r="U208" s="90"/>
      <c r="V208" s="90"/>
      <c r="W208" s="90"/>
    </row>
    <row r="209" spans="1:23">
      <c r="A209" s="91" t="str">
        <f t="shared" si="55"/>
        <v>Jawar</v>
      </c>
      <c r="B209" s="91"/>
      <c r="C209" s="244">
        <v>25</v>
      </c>
      <c r="D209" s="92">
        <f t="shared" si="57"/>
        <v>0</v>
      </c>
      <c r="E209" s="92">
        <f t="shared" si="57"/>
        <v>0</v>
      </c>
      <c r="F209" s="92">
        <f t="shared" si="57"/>
        <v>0</v>
      </c>
      <c r="G209" s="92">
        <f t="shared" si="57"/>
        <v>0</v>
      </c>
      <c r="H209" s="92">
        <f t="shared" si="57"/>
        <v>0</v>
      </c>
      <c r="I209" s="92">
        <f t="shared" si="57"/>
        <v>0</v>
      </c>
      <c r="J209" s="92">
        <f t="shared" si="57"/>
        <v>0</v>
      </c>
      <c r="K209" s="90"/>
      <c r="L209" s="90"/>
      <c r="M209" s="90"/>
      <c r="N209" s="90"/>
      <c r="O209" s="90"/>
      <c r="P209" s="90"/>
      <c r="Q209" s="90"/>
      <c r="R209" s="90"/>
      <c r="S209" s="90"/>
      <c r="T209" s="90"/>
      <c r="U209" s="90"/>
      <c r="V209" s="90"/>
      <c r="W209" s="90"/>
    </row>
    <row r="210" spans="1:23">
      <c r="A210" s="91" t="str">
        <f t="shared" si="55"/>
        <v>Maize</v>
      </c>
      <c r="B210" s="91"/>
      <c r="C210" s="244">
        <v>25</v>
      </c>
      <c r="D210" s="92">
        <f t="shared" si="57"/>
        <v>0</v>
      </c>
      <c r="E210" s="92">
        <f t="shared" si="57"/>
        <v>0</v>
      </c>
      <c r="F210" s="92">
        <f t="shared" si="57"/>
        <v>0</v>
      </c>
      <c r="G210" s="92">
        <f t="shared" si="57"/>
        <v>0</v>
      </c>
      <c r="H210" s="92">
        <f t="shared" si="57"/>
        <v>0</v>
      </c>
      <c r="I210" s="92">
        <f t="shared" si="57"/>
        <v>0</v>
      </c>
      <c r="J210" s="92">
        <f t="shared" si="57"/>
        <v>0</v>
      </c>
      <c r="K210" s="90"/>
      <c r="L210" s="90"/>
      <c r="M210" s="90"/>
      <c r="N210" s="90"/>
      <c r="O210" s="90"/>
      <c r="P210" s="90"/>
      <c r="Q210" s="90"/>
      <c r="R210" s="90"/>
      <c r="S210" s="90"/>
      <c r="T210" s="90"/>
      <c r="U210" s="90"/>
      <c r="V210" s="90"/>
      <c r="W210" s="90"/>
    </row>
    <row r="211" spans="1:23">
      <c r="A211" s="91" t="str">
        <f t="shared" si="55"/>
        <v>Safflower</v>
      </c>
      <c r="B211" s="91"/>
      <c r="C211" s="244">
        <v>25</v>
      </c>
      <c r="D211" s="92">
        <f t="shared" si="57"/>
        <v>0</v>
      </c>
      <c r="E211" s="92">
        <f t="shared" si="57"/>
        <v>0</v>
      </c>
      <c r="F211" s="92">
        <f t="shared" si="57"/>
        <v>0</v>
      </c>
      <c r="G211" s="92">
        <f t="shared" si="57"/>
        <v>0</v>
      </c>
      <c r="H211" s="92">
        <f t="shared" si="57"/>
        <v>0</v>
      </c>
      <c r="I211" s="92">
        <f t="shared" si="57"/>
        <v>0</v>
      </c>
      <c r="J211" s="92">
        <f t="shared" si="57"/>
        <v>0</v>
      </c>
      <c r="K211" s="90"/>
      <c r="L211" s="90"/>
      <c r="M211" s="90"/>
      <c r="N211" s="90"/>
      <c r="O211" s="90"/>
      <c r="P211" s="90"/>
      <c r="Q211" s="90"/>
      <c r="R211" s="90"/>
      <c r="S211" s="90"/>
      <c r="T211" s="90"/>
      <c r="U211" s="90"/>
      <c r="V211" s="90"/>
      <c r="W211" s="90"/>
    </row>
    <row r="212" spans="1:23">
      <c r="A212" s="91">
        <f t="shared" si="55"/>
        <v>0</v>
      </c>
      <c r="B212" s="91"/>
      <c r="C212" s="244"/>
      <c r="D212" s="92">
        <f t="shared" si="57"/>
        <v>0</v>
      </c>
      <c r="E212" s="92">
        <f t="shared" si="57"/>
        <v>0</v>
      </c>
      <c r="F212" s="92">
        <f t="shared" si="57"/>
        <v>0</v>
      </c>
      <c r="G212" s="92">
        <f t="shared" si="57"/>
        <v>0</v>
      </c>
      <c r="H212" s="92">
        <f t="shared" si="57"/>
        <v>0</v>
      </c>
      <c r="I212" s="92">
        <f t="shared" si="57"/>
        <v>0</v>
      </c>
      <c r="J212" s="92">
        <f t="shared" si="57"/>
        <v>0</v>
      </c>
      <c r="K212" s="90"/>
      <c r="L212" s="90"/>
      <c r="M212" s="90"/>
      <c r="N212" s="90"/>
      <c r="O212" s="90"/>
      <c r="P212" s="90"/>
      <c r="Q212" s="90"/>
      <c r="R212" s="90"/>
      <c r="S212" s="90"/>
      <c r="T212" s="90"/>
      <c r="U212" s="90"/>
      <c r="V212" s="90"/>
      <c r="W212" s="90"/>
    </row>
    <row r="213" spans="1:23">
      <c r="A213" s="91">
        <f t="shared" si="55"/>
        <v>0</v>
      </c>
      <c r="B213" s="91"/>
      <c r="C213" s="244"/>
      <c r="D213" s="92">
        <f t="shared" si="57"/>
        <v>0</v>
      </c>
      <c r="E213" s="92">
        <f t="shared" si="57"/>
        <v>0</v>
      </c>
      <c r="F213" s="92">
        <f t="shared" si="57"/>
        <v>0</v>
      </c>
      <c r="G213" s="92">
        <f t="shared" si="57"/>
        <v>0</v>
      </c>
      <c r="H213" s="92">
        <f t="shared" si="57"/>
        <v>0</v>
      </c>
      <c r="I213" s="92">
        <f t="shared" si="57"/>
        <v>0</v>
      </c>
      <c r="J213" s="92">
        <f t="shared" si="57"/>
        <v>0</v>
      </c>
      <c r="K213" s="90"/>
      <c r="L213" s="90"/>
      <c r="M213" s="90"/>
      <c r="N213" s="90"/>
      <c r="O213" s="90"/>
      <c r="P213" s="90"/>
      <c r="Q213" s="90"/>
      <c r="R213" s="90"/>
      <c r="S213" s="90"/>
      <c r="T213" s="90"/>
      <c r="U213" s="90"/>
      <c r="V213" s="90"/>
      <c r="W213" s="90"/>
    </row>
    <row r="214" spans="1:23">
      <c r="A214" s="91">
        <f t="shared" si="55"/>
        <v>0</v>
      </c>
      <c r="B214" s="91"/>
      <c r="C214" s="244"/>
      <c r="D214" s="92">
        <f t="shared" si="57"/>
        <v>0</v>
      </c>
      <c r="E214" s="92">
        <f t="shared" si="57"/>
        <v>0</v>
      </c>
      <c r="F214" s="92">
        <f t="shared" si="57"/>
        <v>0</v>
      </c>
      <c r="G214" s="92">
        <f t="shared" si="57"/>
        <v>0</v>
      </c>
      <c r="H214" s="92">
        <f t="shared" si="57"/>
        <v>0</v>
      </c>
      <c r="I214" s="92">
        <f t="shared" si="57"/>
        <v>0</v>
      </c>
      <c r="J214" s="92">
        <f t="shared" si="57"/>
        <v>0</v>
      </c>
      <c r="K214" s="90"/>
      <c r="L214" s="90"/>
      <c r="M214" s="90"/>
      <c r="N214" s="90"/>
      <c r="O214" s="90"/>
      <c r="P214" s="90"/>
      <c r="Q214" s="90"/>
      <c r="R214" s="90"/>
      <c r="S214" s="90"/>
      <c r="T214" s="90"/>
      <c r="U214" s="90"/>
      <c r="V214" s="90"/>
      <c r="W214" s="90"/>
    </row>
    <row r="215" spans="1:23">
      <c r="A215" s="91" t="str">
        <f t="shared" si="55"/>
        <v>Summer</v>
      </c>
      <c r="B215" s="91"/>
      <c r="C215" s="244"/>
      <c r="D215" s="92">
        <f t="shared" si="57"/>
        <v>0</v>
      </c>
      <c r="E215" s="92">
        <f t="shared" si="57"/>
        <v>0</v>
      </c>
      <c r="F215" s="92">
        <f t="shared" si="57"/>
        <v>0</v>
      </c>
      <c r="G215" s="92">
        <f t="shared" si="57"/>
        <v>0</v>
      </c>
      <c r="H215" s="92">
        <f t="shared" si="57"/>
        <v>0</v>
      </c>
      <c r="I215" s="92">
        <f t="shared" si="57"/>
        <v>0</v>
      </c>
      <c r="J215" s="92">
        <f t="shared" si="57"/>
        <v>0</v>
      </c>
      <c r="K215" s="90"/>
      <c r="L215" s="90"/>
      <c r="M215" s="90"/>
      <c r="N215" s="90"/>
      <c r="O215" s="90"/>
      <c r="P215" s="90"/>
      <c r="Q215" s="90"/>
      <c r="R215" s="90"/>
      <c r="S215" s="90"/>
      <c r="T215" s="90"/>
      <c r="U215" s="90"/>
      <c r="V215" s="90"/>
      <c r="W215" s="90"/>
    </row>
    <row r="216" spans="1:23">
      <c r="A216" s="91" t="str">
        <f t="shared" si="55"/>
        <v>Groundnut</v>
      </c>
      <c r="B216" s="91"/>
      <c r="C216" s="244"/>
      <c r="D216" s="92">
        <f t="shared" si="57"/>
        <v>0</v>
      </c>
      <c r="E216" s="92">
        <f t="shared" si="57"/>
        <v>0</v>
      </c>
      <c r="F216" s="92">
        <f t="shared" si="57"/>
        <v>0</v>
      </c>
      <c r="G216" s="92">
        <f t="shared" si="57"/>
        <v>0</v>
      </c>
      <c r="H216" s="92">
        <f t="shared" si="57"/>
        <v>0</v>
      </c>
      <c r="I216" s="92">
        <f t="shared" si="57"/>
        <v>0</v>
      </c>
      <c r="J216" s="92">
        <f t="shared" si="57"/>
        <v>0</v>
      </c>
      <c r="K216" s="90"/>
      <c r="L216" s="90"/>
      <c r="M216" s="90"/>
      <c r="N216" s="90"/>
      <c r="O216" s="90"/>
      <c r="P216" s="90"/>
      <c r="Q216" s="90"/>
      <c r="R216" s="90"/>
      <c r="S216" s="90"/>
      <c r="T216" s="90"/>
      <c r="U216" s="90"/>
      <c r="V216" s="90"/>
      <c r="W216" s="90"/>
    </row>
    <row r="217" spans="1:23">
      <c r="A217" s="91">
        <f t="shared" si="55"/>
        <v>0</v>
      </c>
      <c r="B217" s="91"/>
      <c r="C217" s="244"/>
      <c r="D217" s="92">
        <f t="shared" si="57"/>
        <v>0</v>
      </c>
      <c r="E217" s="92">
        <f t="shared" si="57"/>
        <v>0</v>
      </c>
      <c r="F217" s="92">
        <f t="shared" si="57"/>
        <v>0</v>
      </c>
      <c r="G217" s="92">
        <f t="shared" si="57"/>
        <v>0</v>
      </c>
      <c r="H217" s="92">
        <f t="shared" si="57"/>
        <v>0</v>
      </c>
      <c r="I217" s="92">
        <f t="shared" si="57"/>
        <v>0</v>
      </c>
      <c r="J217" s="92">
        <f t="shared" si="57"/>
        <v>0</v>
      </c>
      <c r="K217" s="90"/>
      <c r="L217" s="90"/>
      <c r="M217" s="90"/>
      <c r="N217" s="90"/>
      <c r="O217" s="90"/>
      <c r="P217" s="90"/>
      <c r="Q217" s="90"/>
      <c r="R217" s="90"/>
      <c r="S217" s="90"/>
      <c r="T217" s="90"/>
      <c r="U217" s="90"/>
      <c r="V217" s="90"/>
      <c r="W217" s="90"/>
    </row>
    <row r="218" spans="1:23">
      <c r="A218" s="91">
        <f t="shared" si="55"/>
        <v>0</v>
      </c>
      <c r="B218" s="91"/>
      <c r="C218" s="244"/>
      <c r="D218" s="92">
        <f t="shared" ref="D218:J220" si="58">C82*$C218*D$124</f>
        <v>0</v>
      </c>
      <c r="E218" s="92">
        <f t="shared" si="58"/>
        <v>0</v>
      </c>
      <c r="F218" s="92">
        <f t="shared" si="58"/>
        <v>0</v>
      </c>
      <c r="G218" s="92">
        <f t="shared" si="58"/>
        <v>0</v>
      </c>
      <c r="H218" s="92">
        <f t="shared" si="58"/>
        <v>0</v>
      </c>
      <c r="I218" s="92">
        <f t="shared" si="58"/>
        <v>0</v>
      </c>
      <c r="J218" s="92">
        <f t="shared" si="58"/>
        <v>0</v>
      </c>
      <c r="K218" s="90"/>
      <c r="L218" s="90"/>
      <c r="M218" s="90"/>
      <c r="N218" s="90"/>
      <c r="O218" s="90"/>
      <c r="P218" s="90"/>
      <c r="Q218" s="90"/>
      <c r="R218" s="90"/>
      <c r="S218" s="90"/>
      <c r="T218" s="90"/>
      <c r="U218" s="90"/>
      <c r="V218" s="90"/>
      <c r="W218" s="90"/>
    </row>
    <row r="219" spans="1:23">
      <c r="A219" s="91">
        <f t="shared" si="55"/>
        <v>0</v>
      </c>
      <c r="B219" s="91"/>
      <c r="C219" s="244"/>
      <c r="D219" s="92">
        <f t="shared" si="58"/>
        <v>0</v>
      </c>
      <c r="E219" s="92">
        <f t="shared" si="58"/>
        <v>0</v>
      </c>
      <c r="F219" s="92">
        <f t="shared" si="58"/>
        <v>0</v>
      </c>
      <c r="G219" s="92">
        <f t="shared" si="58"/>
        <v>0</v>
      </c>
      <c r="H219" s="92">
        <f t="shared" si="58"/>
        <v>0</v>
      </c>
      <c r="I219" s="92">
        <f t="shared" si="58"/>
        <v>0</v>
      </c>
      <c r="J219" s="92">
        <f t="shared" si="58"/>
        <v>0</v>
      </c>
      <c r="K219" s="90"/>
      <c r="L219" s="90"/>
      <c r="M219" s="90"/>
      <c r="N219" s="90"/>
      <c r="O219" s="90"/>
      <c r="P219" s="90"/>
      <c r="Q219" s="90"/>
      <c r="R219" s="90"/>
      <c r="S219" s="90"/>
      <c r="T219" s="90"/>
      <c r="U219" s="90"/>
      <c r="V219" s="90"/>
      <c r="W219" s="90"/>
    </row>
    <row r="220" spans="1:23">
      <c r="A220" s="91">
        <f t="shared" si="55"/>
        <v>0</v>
      </c>
      <c r="B220" s="91"/>
      <c r="C220" s="244"/>
      <c r="D220" s="92">
        <f t="shared" si="58"/>
        <v>0</v>
      </c>
      <c r="E220" s="92">
        <f t="shared" si="58"/>
        <v>0</v>
      </c>
      <c r="F220" s="92">
        <f t="shared" si="58"/>
        <v>0</v>
      </c>
      <c r="G220" s="92">
        <f t="shared" si="58"/>
        <v>0</v>
      </c>
      <c r="H220" s="92">
        <f t="shared" si="58"/>
        <v>0</v>
      </c>
      <c r="I220" s="92">
        <f t="shared" si="58"/>
        <v>0</v>
      </c>
      <c r="J220" s="92">
        <f t="shared" si="58"/>
        <v>0</v>
      </c>
      <c r="K220" s="90"/>
      <c r="L220" s="90"/>
      <c r="M220" s="90"/>
      <c r="N220" s="90"/>
      <c r="O220" s="90"/>
      <c r="P220" s="90"/>
      <c r="Q220" s="90"/>
      <c r="R220" s="90"/>
      <c r="S220" s="90"/>
      <c r="T220" s="90"/>
      <c r="U220" s="90"/>
      <c r="V220" s="90"/>
      <c r="W220" s="90"/>
    </row>
    <row r="221" spans="1:23">
      <c r="A221" s="91" t="str">
        <f t="shared" si="55"/>
        <v>Fruit  &amp; Vegetables Crop Production Details</v>
      </c>
      <c r="B221" s="91"/>
      <c r="C221" s="92"/>
      <c r="D221" s="92"/>
      <c r="E221" s="92"/>
      <c r="F221" s="92"/>
      <c r="G221" s="92"/>
      <c r="H221" s="92"/>
      <c r="I221" s="92"/>
      <c r="J221" s="92"/>
      <c r="K221" s="90"/>
      <c r="L221" s="90"/>
      <c r="M221" s="90"/>
      <c r="N221" s="90"/>
      <c r="O221" s="90"/>
      <c r="P221" s="90"/>
      <c r="Q221" s="90"/>
      <c r="R221" s="90"/>
      <c r="S221" s="90"/>
      <c r="T221" s="90"/>
      <c r="U221" s="90"/>
      <c r="V221" s="90"/>
      <c r="W221" s="90"/>
    </row>
    <row r="222" spans="1:23">
      <c r="A222" s="91" t="str">
        <f t="shared" si="55"/>
        <v>Onion</v>
      </c>
      <c r="B222" s="91"/>
      <c r="C222" s="244"/>
      <c r="D222" s="92">
        <f t="shared" ref="D222:J231" si="59">C86*$C222*D$124</f>
        <v>0</v>
      </c>
      <c r="E222" s="92">
        <f t="shared" si="59"/>
        <v>0</v>
      </c>
      <c r="F222" s="92">
        <f t="shared" si="59"/>
        <v>0</v>
      </c>
      <c r="G222" s="92">
        <f t="shared" si="59"/>
        <v>0</v>
      </c>
      <c r="H222" s="92">
        <f t="shared" si="59"/>
        <v>0</v>
      </c>
      <c r="I222" s="92">
        <f t="shared" si="59"/>
        <v>0</v>
      </c>
      <c r="J222" s="92">
        <f t="shared" si="59"/>
        <v>0</v>
      </c>
      <c r="K222" s="90"/>
      <c r="L222" s="90"/>
      <c r="M222" s="90"/>
      <c r="N222" s="90"/>
      <c r="O222" s="90"/>
      <c r="P222" s="90"/>
      <c r="Q222" s="90"/>
      <c r="R222" s="90"/>
      <c r="S222" s="90"/>
      <c r="T222" s="90"/>
      <c r="U222" s="90"/>
      <c r="V222" s="90"/>
      <c r="W222" s="90"/>
    </row>
    <row r="223" spans="1:23">
      <c r="A223" s="91" t="str">
        <f t="shared" si="55"/>
        <v>Tomato</v>
      </c>
      <c r="B223" s="91"/>
      <c r="C223" s="244"/>
      <c r="D223" s="92">
        <f t="shared" si="59"/>
        <v>0</v>
      </c>
      <c r="E223" s="92">
        <f t="shared" si="59"/>
        <v>0</v>
      </c>
      <c r="F223" s="92">
        <f t="shared" si="59"/>
        <v>0</v>
      </c>
      <c r="G223" s="92">
        <f t="shared" si="59"/>
        <v>0</v>
      </c>
      <c r="H223" s="92">
        <f t="shared" si="59"/>
        <v>0</v>
      </c>
      <c r="I223" s="92">
        <f t="shared" si="59"/>
        <v>0</v>
      </c>
      <c r="J223" s="92">
        <f t="shared" si="59"/>
        <v>0</v>
      </c>
      <c r="K223" s="90"/>
      <c r="L223" s="90"/>
      <c r="M223" s="90"/>
      <c r="N223" s="90"/>
      <c r="O223" s="90"/>
      <c r="P223" s="90"/>
      <c r="Q223" s="90"/>
      <c r="R223" s="90"/>
      <c r="S223" s="90"/>
      <c r="T223" s="90"/>
      <c r="U223" s="90"/>
      <c r="V223" s="90"/>
      <c r="W223" s="90"/>
    </row>
    <row r="224" spans="1:23">
      <c r="A224" s="91" t="str">
        <f t="shared" si="55"/>
        <v>Okra</v>
      </c>
      <c r="B224" s="91"/>
      <c r="C224" s="244"/>
      <c r="D224" s="92">
        <f t="shared" si="59"/>
        <v>0</v>
      </c>
      <c r="E224" s="92">
        <f t="shared" si="59"/>
        <v>0</v>
      </c>
      <c r="F224" s="92">
        <f t="shared" si="59"/>
        <v>0</v>
      </c>
      <c r="G224" s="92">
        <f t="shared" si="59"/>
        <v>0</v>
      </c>
      <c r="H224" s="92">
        <f t="shared" si="59"/>
        <v>0</v>
      </c>
      <c r="I224" s="92">
        <f t="shared" si="59"/>
        <v>0</v>
      </c>
      <c r="J224" s="92">
        <f t="shared" si="59"/>
        <v>0</v>
      </c>
      <c r="K224" s="90"/>
      <c r="L224" s="90"/>
      <c r="M224" s="90"/>
      <c r="N224" s="90"/>
      <c r="O224" s="90"/>
      <c r="P224" s="90"/>
      <c r="Q224" s="90"/>
      <c r="R224" s="90"/>
      <c r="S224" s="90"/>
      <c r="T224" s="90"/>
      <c r="U224" s="90"/>
      <c r="V224" s="90"/>
      <c r="W224" s="90"/>
    </row>
    <row r="225" spans="1:23">
      <c r="A225" s="91" t="str">
        <f t="shared" si="55"/>
        <v>Chilli</v>
      </c>
      <c r="B225" s="91"/>
      <c r="C225" s="244"/>
      <c r="D225" s="92">
        <f t="shared" si="59"/>
        <v>0</v>
      </c>
      <c r="E225" s="92">
        <f t="shared" si="59"/>
        <v>0</v>
      </c>
      <c r="F225" s="92">
        <f t="shared" si="59"/>
        <v>0</v>
      </c>
      <c r="G225" s="92">
        <f t="shared" si="59"/>
        <v>0</v>
      </c>
      <c r="H225" s="92">
        <f t="shared" si="59"/>
        <v>0</v>
      </c>
      <c r="I225" s="92">
        <f t="shared" si="59"/>
        <v>0</v>
      </c>
      <c r="J225" s="92">
        <f t="shared" si="59"/>
        <v>0</v>
      </c>
      <c r="K225" s="90"/>
      <c r="L225" s="90"/>
      <c r="M225" s="90"/>
      <c r="N225" s="90"/>
      <c r="O225" s="90"/>
      <c r="P225" s="90"/>
      <c r="Q225" s="90"/>
      <c r="R225" s="90"/>
      <c r="S225" s="90"/>
      <c r="T225" s="90"/>
      <c r="U225" s="90"/>
      <c r="V225" s="90"/>
      <c r="W225" s="90"/>
    </row>
    <row r="226" spans="1:23">
      <c r="A226" s="91" t="str">
        <f t="shared" si="55"/>
        <v>Potato</v>
      </c>
      <c r="B226" s="91"/>
      <c r="C226" s="244"/>
      <c r="D226" s="92">
        <f t="shared" si="59"/>
        <v>0</v>
      </c>
      <c r="E226" s="92">
        <f t="shared" si="59"/>
        <v>0</v>
      </c>
      <c r="F226" s="92">
        <f t="shared" si="59"/>
        <v>0</v>
      </c>
      <c r="G226" s="92">
        <f t="shared" si="59"/>
        <v>0</v>
      </c>
      <c r="H226" s="92">
        <f t="shared" si="59"/>
        <v>0</v>
      </c>
      <c r="I226" s="92">
        <f t="shared" si="59"/>
        <v>0</v>
      </c>
      <c r="J226" s="92">
        <f t="shared" si="59"/>
        <v>0</v>
      </c>
      <c r="K226" s="90"/>
      <c r="L226" s="90"/>
      <c r="M226" s="90"/>
      <c r="N226" s="90"/>
      <c r="O226" s="90"/>
      <c r="P226" s="90"/>
      <c r="Q226" s="90"/>
      <c r="R226" s="90"/>
      <c r="S226" s="90"/>
      <c r="T226" s="90"/>
      <c r="U226" s="90"/>
      <c r="V226" s="90"/>
      <c r="W226" s="90"/>
    </row>
    <row r="227" spans="1:23">
      <c r="A227" s="91">
        <f t="shared" si="55"/>
        <v>0</v>
      </c>
      <c r="B227" s="91"/>
      <c r="C227" s="244"/>
      <c r="D227" s="92">
        <f t="shared" si="59"/>
        <v>0</v>
      </c>
      <c r="E227" s="92">
        <f t="shared" si="59"/>
        <v>0</v>
      </c>
      <c r="F227" s="92">
        <f t="shared" si="59"/>
        <v>0</v>
      </c>
      <c r="G227" s="92">
        <f t="shared" si="59"/>
        <v>0</v>
      </c>
      <c r="H227" s="92">
        <f t="shared" si="59"/>
        <v>0</v>
      </c>
      <c r="I227" s="92">
        <f t="shared" si="59"/>
        <v>0</v>
      </c>
      <c r="J227" s="92">
        <f t="shared" si="59"/>
        <v>0</v>
      </c>
      <c r="K227" s="90"/>
      <c r="L227" s="90"/>
      <c r="M227" s="90"/>
      <c r="N227" s="90"/>
      <c r="O227" s="90"/>
      <c r="P227" s="90"/>
      <c r="Q227" s="90"/>
      <c r="R227" s="90"/>
      <c r="S227" s="90"/>
      <c r="T227" s="90"/>
      <c r="U227" s="90"/>
      <c r="V227" s="90"/>
      <c r="W227" s="90"/>
    </row>
    <row r="228" spans="1:23">
      <c r="A228" s="91">
        <f t="shared" si="55"/>
        <v>0</v>
      </c>
      <c r="B228" s="91"/>
      <c r="C228" s="244"/>
      <c r="D228" s="92">
        <f t="shared" si="59"/>
        <v>0</v>
      </c>
      <c r="E228" s="92">
        <f t="shared" si="59"/>
        <v>0</v>
      </c>
      <c r="F228" s="92">
        <f t="shared" si="59"/>
        <v>0</v>
      </c>
      <c r="G228" s="92">
        <f t="shared" si="59"/>
        <v>0</v>
      </c>
      <c r="H228" s="92">
        <f t="shared" si="59"/>
        <v>0</v>
      </c>
      <c r="I228" s="92">
        <f t="shared" si="59"/>
        <v>0</v>
      </c>
      <c r="J228" s="92">
        <f t="shared" si="59"/>
        <v>0</v>
      </c>
      <c r="K228" s="90"/>
      <c r="L228" s="90"/>
      <c r="M228" s="90"/>
      <c r="N228" s="90"/>
      <c r="O228" s="90"/>
      <c r="P228" s="90"/>
      <c r="Q228" s="90"/>
      <c r="R228" s="90"/>
      <c r="S228" s="90"/>
      <c r="T228" s="90"/>
      <c r="U228" s="90"/>
      <c r="V228" s="90"/>
      <c r="W228" s="90"/>
    </row>
    <row r="229" spans="1:23">
      <c r="A229" s="91">
        <f t="shared" si="55"/>
        <v>0</v>
      </c>
      <c r="B229" s="91"/>
      <c r="C229" s="244"/>
      <c r="D229" s="92">
        <f t="shared" si="59"/>
        <v>0</v>
      </c>
      <c r="E229" s="92">
        <f t="shared" si="59"/>
        <v>0</v>
      </c>
      <c r="F229" s="92">
        <f t="shared" si="59"/>
        <v>0</v>
      </c>
      <c r="G229" s="92">
        <f t="shared" si="59"/>
        <v>0</v>
      </c>
      <c r="H229" s="92">
        <f t="shared" si="59"/>
        <v>0</v>
      </c>
      <c r="I229" s="92">
        <f t="shared" si="59"/>
        <v>0</v>
      </c>
      <c r="J229" s="92">
        <f t="shared" si="59"/>
        <v>0</v>
      </c>
      <c r="K229" s="90"/>
      <c r="L229" s="90"/>
      <c r="M229" s="90"/>
      <c r="N229" s="90"/>
      <c r="O229" s="90"/>
      <c r="P229" s="90"/>
      <c r="Q229" s="90"/>
      <c r="R229" s="90"/>
      <c r="S229" s="90"/>
      <c r="T229" s="90"/>
      <c r="U229" s="90"/>
      <c r="V229" s="90"/>
      <c r="W229" s="90"/>
    </row>
    <row r="230" spans="1:23">
      <c r="A230" s="91">
        <f t="shared" si="55"/>
        <v>0</v>
      </c>
      <c r="B230" s="91"/>
      <c r="C230" s="244"/>
      <c r="D230" s="92">
        <f t="shared" si="59"/>
        <v>0</v>
      </c>
      <c r="E230" s="92">
        <f t="shared" si="59"/>
        <v>0</v>
      </c>
      <c r="F230" s="92">
        <f t="shared" si="59"/>
        <v>0</v>
      </c>
      <c r="G230" s="92">
        <f t="shared" si="59"/>
        <v>0</v>
      </c>
      <c r="H230" s="92">
        <f t="shared" si="59"/>
        <v>0</v>
      </c>
      <c r="I230" s="92">
        <f t="shared" si="59"/>
        <v>0</v>
      </c>
      <c r="J230" s="92">
        <f t="shared" si="59"/>
        <v>0</v>
      </c>
      <c r="K230" s="90"/>
      <c r="L230" s="90"/>
      <c r="M230" s="90"/>
      <c r="N230" s="90"/>
      <c r="O230" s="90"/>
      <c r="P230" s="90"/>
      <c r="Q230" s="90"/>
      <c r="R230" s="90"/>
      <c r="S230" s="90"/>
      <c r="T230" s="90"/>
      <c r="U230" s="90"/>
      <c r="V230" s="90"/>
      <c r="W230" s="90"/>
    </row>
    <row r="231" spans="1:23">
      <c r="A231" s="91" t="str">
        <f t="shared" si="55"/>
        <v>Onion</v>
      </c>
      <c r="B231" s="91"/>
      <c r="C231" s="244"/>
      <c r="D231" s="92">
        <f t="shared" si="59"/>
        <v>0</v>
      </c>
      <c r="E231" s="92">
        <f t="shared" si="59"/>
        <v>0</v>
      </c>
      <c r="F231" s="92">
        <f t="shared" si="59"/>
        <v>0</v>
      </c>
      <c r="G231" s="92">
        <f t="shared" si="59"/>
        <v>0</v>
      </c>
      <c r="H231" s="92">
        <f t="shared" si="59"/>
        <v>0</v>
      </c>
      <c r="I231" s="92">
        <f t="shared" si="59"/>
        <v>0</v>
      </c>
      <c r="J231" s="92">
        <f t="shared" si="59"/>
        <v>0</v>
      </c>
      <c r="K231" s="90"/>
      <c r="L231" s="90"/>
      <c r="M231" s="90"/>
      <c r="N231" s="90"/>
      <c r="O231" s="90"/>
      <c r="P231" s="90"/>
      <c r="Q231" s="90"/>
      <c r="R231" s="90"/>
      <c r="S231" s="90"/>
      <c r="T231" s="90"/>
      <c r="U231" s="90"/>
      <c r="V231" s="90"/>
      <c r="W231" s="90"/>
    </row>
    <row r="232" spans="1:23">
      <c r="A232" s="91" t="str">
        <f t="shared" si="55"/>
        <v>Tomato</v>
      </c>
      <c r="B232" s="91"/>
      <c r="C232" s="244"/>
      <c r="D232" s="92">
        <f t="shared" ref="D232:J239" si="60">C96*$C232*D$124</f>
        <v>0</v>
      </c>
      <c r="E232" s="92">
        <f t="shared" si="60"/>
        <v>0</v>
      </c>
      <c r="F232" s="92">
        <f t="shared" si="60"/>
        <v>0</v>
      </c>
      <c r="G232" s="92">
        <f t="shared" si="60"/>
        <v>0</v>
      </c>
      <c r="H232" s="92">
        <f t="shared" si="60"/>
        <v>0</v>
      </c>
      <c r="I232" s="92">
        <f t="shared" si="60"/>
        <v>0</v>
      </c>
      <c r="J232" s="92">
        <f t="shared" si="60"/>
        <v>0</v>
      </c>
      <c r="K232" s="90"/>
      <c r="L232" s="90"/>
      <c r="M232" s="90"/>
      <c r="N232" s="90"/>
      <c r="O232" s="90"/>
      <c r="P232" s="90"/>
      <c r="Q232" s="90"/>
      <c r="R232" s="90"/>
      <c r="S232" s="90"/>
      <c r="T232" s="90"/>
      <c r="U232" s="90"/>
      <c r="V232" s="90"/>
      <c r="W232" s="90"/>
    </row>
    <row r="233" spans="1:23">
      <c r="A233" s="91" t="str">
        <f t="shared" si="55"/>
        <v>Okra</v>
      </c>
      <c r="B233" s="91"/>
      <c r="C233" s="244"/>
      <c r="D233" s="92">
        <f t="shared" si="60"/>
        <v>0</v>
      </c>
      <c r="E233" s="92">
        <f t="shared" si="60"/>
        <v>0</v>
      </c>
      <c r="F233" s="92">
        <f t="shared" si="60"/>
        <v>0</v>
      </c>
      <c r="G233" s="92">
        <f t="shared" si="60"/>
        <v>0</v>
      </c>
      <c r="H233" s="92">
        <f t="shared" si="60"/>
        <v>0</v>
      </c>
      <c r="I233" s="92">
        <f t="shared" si="60"/>
        <v>0</v>
      </c>
      <c r="J233" s="92">
        <f t="shared" si="60"/>
        <v>0</v>
      </c>
      <c r="K233" s="90"/>
      <c r="L233" s="90"/>
      <c r="M233" s="90"/>
      <c r="N233" s="90"/>
      <c r="O233" s="90"/>
      <c r="P233" s="90"/>
      <c r="Q233" s="90"/>
      <c r="R233" s="90"/>
      <c r="S233" s="90"/>
      <c r="T233" s="90"/>
      <c r="U233" s="90"/>
      <c r="V233" s="90"/>
      <c r="W233" s="90"/>
    </row>
    <row r="234" spans="1:23">
      <c r="A234" s="91" t="str">
        <f t="shared" si="55"/>
        <v>Chilli</v>
      </c>
      <c r="B234" s="91"/>
      <c r="C234" s="244"/>
      <c r="D234" s="92">
        <f t="shared" si="60"/>
        <v>0</v>
      </c>
      <c r="E234" s="92">
        <f t="shared" si="60"/>
        <v>0</v>
      </c>
      <c r="F234" s="92">
        <f t="shared" si="60"/>
        <v>0</v>
      </c>
      <c r="G234" s="92">
        <f t="shared" si="60"/>
        <v>0</v>
      </c>
      <c r="H234" s="92">
        <f t="shared" si="60"/>
        <v>0</v>
      </c>
      <c r="I234" s="92">
        <f t="shared" si="60"/>
        <v>0</v>
      </c>
      <c r="J234" s="92">
        <f t="shared" si="60"/>
        <v>0</v>
      </c>
      <c r="K234" s="90"/>
      <c r="L234" s="90"/>
      <c r="M234" s="90"/>
      <c r="N234" s="90"/>
      <c r="O234" s="90"/>
      <c r="P234" s="90"/>
      <c r="Q234" s="90"/>
      <c r="R234" s="90"/>
      <c r="S234" s="90"/>
      <c r="T234" s="90"/>
      <c r="U234" s="90"/>
      <c r="V234" s="90"/>
      <c r="W234" s="90"/>
    </row>
    <row r="235" spans="1:23">
      <c r="A235" s="91" t="str">
        <f t="shared" si="55"/>
        <v>Brinjal</v>
      </c>
      <c r="B235" s="91"/>
      <c r="C235" s="244"/>
      <c r="D235" s="92">
        <f t="shared" si="60"/>
        <v>0</v>
      </c>
      <c r="E235" s="92">
        <f t="shared" si="60"/>
        <v>0</v>
      </c>
      <c r="F235" s="92">
        <f t="shared" si="60"/>
        <v>0</v>
      </c>
      <c r="G235" s="92">
        <f t="shared" si="60"/>
        <v>0</v>
      </c>
      <c r="H235" s="92">
        <f t="shared" si="60"/>
        <v>0</v>
      </c>
      <c r="I235" s="92">
        <f t="shared" si="60"/>
        <v>0</v>
      </c>
      <c r="J235" s="92">
        <f t="shared" si="60"/>
        <v>0</v>
      </c>
      <c r="K235" s="90"/>
      <c r="L235" s="90"/>
      <c r="M235" s="90"/>
      <c r="N235" s="90"/>
      <c r="O235" s="90"/>
      <c r="P235" s="90"/>
      <c r="Q235" s="90"/>
      <c r="R235" s="90"/>
      <c r="S235" s="90"/>
      <c r="T235" s="90"/>
      <c r="U235" s="90"/>
      <c r="V235" s="90"/>
      <c r="W235" s="90"/>
    </row>
    <row r="236" spans="1:23">
      <c r="A236" s="91">
        <f t="shared" si="55"/>
        <v>0</v>
      </c>
      <c r="B236" s="91"/>
      <c r="C236" s="244"/>
      <c r="D236" s="92">
        <f t="shared" si="60"/>
        <v>0</v>
      </c>
      <c r="E236" s="92">
        <f t="shared" si="60"/>
        <v>0</v>
      </c>
      <c r="F236" s="92">
        <f t="shared" si="60"/>
        <v>0</v>
      </c>
      <c r="G236" s="92">
        <f t="shared" si="60"/>
        <v>0</v>
      </c>
      <c r="H236" s="92">
        <f t="shared" si="60"/>
        <v>0</v>
      </c>
      <c r="I236" s="92">
        <f t="shared" si="60"/>
        <v>0</v>
      </c>
      <c r="J236" s="92">
        <f t="shared" si="60"/>
        <v>0</v>
      </c>
      <c r="K236" s="90"/>
      <c r="L236" s="90"/>
      <c r="M236" s="90"/>
      <c r="N236" s="90"/>
      <c r="O236" s="90"/>
      <c r="P236" s="90"/>
      <c r="Q236" s="90"/>
      <c r="R236" s="90"/>
      <c r="S236" s="90"/>
      <c r="T236" s="90"/>
      <c r="U236" s="90"/>
      <c r="V236" s="90"/>
      <c r="W236" s="90"/>
    </row>
    <row r="237" spans="1:23">
      <c r="A237" s="91">
        <f t="shared" si="55"/>
        <v>0</v>
      </c>
      <c r="B237" s="91"/>
      <c r="C237" s="244"/>
      <c r="D237" s="92">
        <f t="shared" si="60"/>
        <v>0</v>
      </c>
      <c r="E237" s="92">
        <f t="shared" si="60"/>
        <v>0</v>
      </c>
      <c r="F237" s="92">
        <f t="shared" si="60"/>
        <v>0</v>
      </c>
      <c r="G237" s="92">
        <f t="shared" si="60"/>
        <v>0</v>
      </c>
      <c r="H237" s="92">
        <f t="shared" si="60"/>
        <v>0</v>
      </c>
      <c r="I237" s="92">
        <f t="shared" si="60"/>
        <v>0</v>
      </c>
      <c r="J237" s="92">
        <f t="shared" si="60"/>
        <v>0</v>
      </c>
      <c r="K237" s="90"/>
      <c r="L237" s="90"/>
      <c r="M237" s="90"/>
      <c r="N237" s="90"/>
      <c r="O237" s="90"/>
      <c r="P237" s="90"/>
      <c r="Q237" s="90"/>
      <c r="R237" s="90"/>
      <c r="S237" s="90"/>
      <c r="T237" s="90"/>
      <c r="U237" s="90"/>
      <c r="V237" s="90"/>
      <c r="W237" s="90"/>
    </row>
    <row r="238" spans="1:23">
      <c r="A238" s="91">
        <f t="shared" si="55"/>
        <v>0</v>
      </c>
      <c r="B238" s="91"/>
      <c r="C238" s="244"/>
      <c r="D238" s="92">
        <f t="shared" si="60"/>
        <v>0</v>
      </c>
      <c r="E238" s="92">
        <f t="shared" si="60"/>
        <v>0</v>
      </c>
      <c r="F238" s="92">
        <f t="shared" si="60"/>
        <v>0</v>
      </c>
      <c r="G238" s="92">
        <f t="shared" si="60"/>
        <v>0</v>
      </c>
      <c r="H238" s="92">
        <f t="shared" si="60"/>
        <v>0</v>
      </c>
      <c r="I238" s="92">
        <f t="shared" si="60"/>
        <v>0</v>
      </c>
      <c r="J238" s="92">
        <f t="shared" si="60"/>
        <v>0</v>
      </c>
      <c r="K238" s="90"/>
      <c r="L238" s="90"/>
      <c r="M238" s="90"/>
      <c r="N238" s="90"/>
      <c r="O238" s="90"/>
      <c r="P238" s="90"/>
      <c r="Q238" s="90"/>
      <c r="R238" s="90"/>
      <c r="S238" s="90"/>
      <c r="T238" s="90"/>
      <c r="U238" s="90"/>
      <c r="V238" s="90"/>
      <c r="W238" s="90"/>
    </row>
    <row r="239" spans="1:23">
      <c r="A239" s="91">
        <f t="shared" si="55"/>
        <v>0</v>
      </c>
      <c r="B239" s="91"/>
      <c r="C239" s="244"/>
      <c r="D239" s="92">
        <f t="shared" si="60"/>
        <v>0</v>
      </c>
      <c r="E239" s="92">
        <f t="shared" si="60"/>
        <v>0</v>
      </c>
      <c r="F239" s="92">
        <f t="shared" si="60"/>
        <v>0</v>
      </c>
      <c r="G239" s="92">
        <f t="shared" si="60"/>
        <v>0</v>
      </c>
      <c r="H239" s="92">
        <f t="shared" si="60"/>
        <v>0</v>
      </c>
      <c r="I239" s="92">
        <f t="shared" si="60"/>
        <v>0</v>
      </c>
      <c r="J239" s="92">
        <f t="shared" si="60"/>
        <v>0</v>
      </c>
      <c r="K239" s="90"/>
      <c r="L239" s="90"/>
      <c r="M239" s="90"/>
      <c r="N239" s="90"/>
      <c r="O239" s="90"/>
      <c r="P239" s="90"/>
      <c r="Q239" s="90"/>
      <c r="R239" s="90"/>
      <c r="S239" s="90"/>
      <c r="T239" s="90"/>
      <c r="U239" s="90"/>
      <c r="V239" s="90"/>
      <c r="W239" s="90"/>
    </row>
    <row r="240" spans="1:23">
      <c r="A240" s="91" t="str">
        <f>A175</f>
        <v>Pomegranate</v>
      </c>
      <c r="B240" s="91"/>
      <c r="C240" s="244"/>
      <c r="D240" s="92">
        <f t="shared" ref="D240:J244" si="61">C107*$C240*D$124</f>
        <v>0</v>
      </c>
      <c r="E240" s="92">
        <f t="shared" si="61"/>
        <v>0</v>
      </c>
      <c r="F240" s="92">
        <f t="shared" si="61"/>
        <v>0</v>
      </c>
      <c r="G240" s="92">
        <f t="shared" si="61"/>
        <v>0</v>
      </c>
      <c r="H240" s="92">
        <f t="shared" si="61"/>
        <v>0</v>
      </c>
      <c r="I240" s="92">
        <f t="shared" si="61"/>
        <v>0</v>
      </c>
      <c r="J240" s="92">
        <f t="shared" si="61"/>
        <v>0</v>
      </c>
      <c r="K240" s="90"/>
      <c r="L240" s="90"/>
      <c r="M240" s="90"/>
      <c r="N240" s="90"/>
      <c r="O240" s="90"/>
      <c r="P240" s="90"/>
      <c r="Q240" s="90"/>
      <c r="R240" s="90"/>
      <c r="S240" s="90"/>
      <c r="T240" s="90"/>
      <c r="U240" s="90"/>
      <c r="V240" s="90"/>
      <c r="W240" s="90"/>
    </row>
    <row r="241" spans="1:23">
      <c r="A241" s="91" t="str">
        <f>A176</f>
        <v>Custard Apple</v>
      </c>
      <c r="B241" s="91"/>
      <c r="C241" s="244"/>
      <c r="D241" s="92">
        <f t="shared" si="61"/>
        <v>0</v>
      </c>
      <c r="E241" s="92">
        <f t="shared" si="61"/>
        <v>0</v>
      </c>
      <c r="F241" s="92">
        <f t="shared" si="61"/>
        <v>0</v>
      </c>
      <c r="G241" s="92">
        <f t="shared" si="61"/>
        <v>0</v>
      </c>
      <c r="H241" s="92">
        <f t="shared" si="61"/>
        <v>0</v>
      </c>
      <c r="I241" s="92">
        <f t="shared" si="61"/>
        <v>0</v>
      </c>
      <c r="J241" s="92">
        <f t="shared" si="61"/>
        <v>0</v>
      </c>
      <c r="K241" s="90"/>
      <c r="L241" s="90"/>
      <c r="M241" s="90"/>
      <c r="N241" s="90"/>
      <c r="O241" s="90"/>
      <c r="P241" s="90"/>
      <c r="Q241" s="90"/>
      <c r="R241" s="90"/>
      <c r="S241" s="90"/>
      <c r="T241" s="90"/>
      <c r="U241" s="90"/>
      <c r="V241" s="90"/>
      <c r="W241" s="90"/>
    </row>
    <row r="242" spans="1:23">
      <c r="A242" s="91" t="str">
        <f>A177</f>
        <v>Guava</v>
      </c>
      <c r="B242" s="91"/>
      <c r="C242" s="244"/>
      <c r="D242" s="92">
        <f t="shared" si="61"/>
        <v>0</v>
      </c>
      <c r="E242" s="92">
        <f t="shared" si="61"/>
        <v>0</v>
      </c>
      <c r="F242" s="92">
        <f t="shared" si="61"/>
        <v>0</v>
      </c>
      <c r="G242" s="92">
        <f t="shared" si="61"/>
        <v>0</v>
      </c>
      <c r="H242" s="92">
        <f t="shared" si="61"/>
        <v>0</v>
      </c>
      <c r="I242" s="92">
        <f t="shared" si="61"/>
        <v>0</v>
      </c>
      <c r="J242" s="92">
        <f t="shared" si="61"/>
        <v>0</v>
      </c>
      <c r="K242" s="90"/>
      <c r="L242" s="90"/>
      <c r="M242" s="90"/>
      <c r="N242" s="90"/>
      <c r="O242" s="90"/>
      <c r="P242" s="90"/>
      <c r="Q242" s="90"/>
      <c r="R242" s="90"/>
      <c r="S242" s="90"/>
      <c r="T242" s="90"/>
      <c r="U242" s="90"/>
      <c r="V242" s="90"/>
      <c r="W242" s="90"/>
    </row>
    <row r="243" spans="1:23">
      <c r="A243" s="91" t="str">
        <f>A178</f>
        <v>Citrus</v>
      </c>
      <c r="B243" s="91"/>
      <c r="C243" s="244"/>
      <c r="D243" s="92">
        <f t="shared" si="61"/>
        <v>0</v>
      </c>
      <c r="E243" s="92">
        <f t="shared" si="61"/>
        <v>0</v>
      </c>
      <c r="F243" s="92">
        <f t="shared" si="61"/>
        <v>0</v>
      </c>
      <c r="G243" s="92">
        <f t="shared" si="61"/>
        <v>0</v>
      </c>
      <c r="H243" s="92">
        <f t="shared" si="61"/>
        <v>0</v>
      </c>
      <c r="I243" s="92">
        <f t="shared" si="61"/>
        <v>0</v>
      </c>
      <c r="J243" s="92">
        <f t="shared" si="61"/>
        <v>0</v>
      </c>
      <c r="K243" s="90"/>
      <c r="L243" s="90"/>
      <c r="M243" s="90"/>
      <c r="N243" s="90"/>
      <c r="O243" s="90"/>
      <c r="P243" s="90"/>
      <c r="Q243" s="90"/>
      <c r="R243" s="90"/>
      <c r="S243" s="90"/>
      <c r="T243" s="90"/>
      <c r="U243" s="90"/>
      <c r="V243" s="90"/>
      <c r="W243" s="90"/>
    </row>
    <row r="244" spans="1:23">
      <c r="A244" s="91">
        <f>A179</f>
        <v>0</v>
      </c>
      <c r="B244" s="91"/>
      <c r="C244" s="244"/>
      <c r="D244" s="92">
        <f t="shared" si="61"/>
        <v>0</v>
      </c>
      <c r="E244" s="92">
        <f t="shared" si="61"/>
        <v>0</v>
      </c>
      <c r="F244" s="92">
        <f t="shared" si="61"/>
        <v>0</v>
      </c>
      <c r="G244" s="92">
        <f t="shared" si="61"/>
        <v>0</v>
      </c>
      <c r="H244" s="92">
        <f t="shared" si="61"/>
        <v>0</v>
      </c>
      <c r="I244" s="92">
        <f t="shared" si="61"/>
        <v>0</v>
      </c>
      <c r="J244" s="92">
        <f t="shared" si="61"/>
        <v>0</v>
      </c>
      <c r="K244" s="90"/>
      <c r="L244" s="90"/>
      <c r="M244" s="90"/>
      <c r="N244" s="90"/>
      <c r="O244" s="90"/>
      <c r="P244" s="90"/>
      <c r="Q244" s="90"/>
      <c r="R244" s="90"/>
      <c r="S244" s="90"/>
      <c r="T244" s="90"/>
      <c r="U244" s="90"/>
      <c r="V244" s="90"/>
      <c r="W244" s="90"/>
    </row>
    <row r="245" spans="1:23">
      <c r="A245" s="91" t="str">
        <f>A181</f>
        <v>Fertilizer(Rate/KG)</v>
      </c>
      <c r="B245" s="91"/>
      <c r="C245" s="92"/>
      <c r="D245" s="92"/>
      <c r="E245" s="92"/>
      <c r="F245" s="92"/>
      <c r="G245" s="92"/>
      <c r="H245" s="92"/>
      <c r="I245" s="92"/>
      <c r="J245" s="92"/>
      <c r="K245" s="90"/>
      <c r="L245" s="90"/>
      <c r="M245" s="90"/>
      <c r="N245" s="90"/>
      <c r="O245" s="90"/>
      <c r="P245" s="90"/>
      <c r="Q245" s="90"/>
      <c r="R245" s="90"/>
      <c r="S245" s="90"/>
      <c r="T245" s="90"/>
      <c r="U245" s="90"/>
      <c r="V245" s="90"/>
      <c r="W245" s="90"/>
    </row>
    <row r="246" spans="1:23">
      <c r="A246" s="91" t="str">
        <f>A182</f>
        <v>SSP</v>
      </c>
      <c r="B246" s="91"/>
      <c r="C246" s="244"/>
      <c r="D246" s="92">
        <f t="shared" ref="D246:J246" si="62">C114*$C$246*D124</f>
        <v>0</v>
      </c>
      <c r="E246" s="92">
        <f t="shared" si="62"/>
        <v>0</v>
      </c>
      <c r="F246" s="92">
        <f t="shared" si="62"/>
        <v>0</v>
      </c>
      <c r="G246" s="92">
        <f t="shared" si="62"/>
        <v>0</v>
      </c>
      <c r="H246" s="92">
        <f t="shared" si="62"/>
        <v>0</v>
      </c>
      <c r="I246" s="92">
        <f t="shared" si="62"/>
        <v>0</v>
      </c>
      <c r="J246" s="92">
        <f t="shared" si="62"/>
        <v>0</v>
      </c>
      <c r="K246" s="90"/>
      <c r="L246" s="90"/>
      <c r="M246" s="90"/>
      <c r="N246" s="90"/>
      <c r="O246" s="90"/>
      <c r="P246" s="90"/>
      <c r="Q246" s="90"/>
      <c r="R246" s="90"/>
      <c r="S246" s="90"/>
      <c r="T246" s="90"/>
      <c r="U246" s="90"/>
      <c r="V246" s="90"/>
      <c r="W246" s="90"/>
    </row>
    <row r="247" spans="1:23">
      <c r="A247" s="91" t="str">
        <f>A183</f>
        <v>Urea</v>
      </c>
      <c r="B247" s="91"/>
      <c r="C247" s="244"/>
      <c r="D247" s="92">
        <f t="shared" ref="D247:J247" si="63">C115*$C$247*D124</f>
        <v>0</v>
      </c>
      <c r="E247" s="92">
        <f t="shared" si="63"/>
        <v>0</v>
      </c>
      <c r="F247" s="92">
        <f t="shared" si="63"/>
        <v>0</v>
      </c>
      <c r="G247" s="92">
        <f t="shared" si="63"/>
        <v>0</v>
      </c>
      <c r="H247" s="92">
        <f t="shared" si="63"/>
        <v>0</v>
      </c>
      <c r="I247" s="92">
        <f t="shared" si="63"/>
        <v>0</v>
      </c>
      <c r="J247" s="92">
        <f t="shared" si="63"/>
        <v>0</v>
      </c>
      <c r="K247" s="90"/>
      <c r="L247" s="90"/>
      <c r="M247" s="90"/>
      <c r="N247" s="90"/>
      <c r="O247" s="90"/>
      <c r="P247" s="90"/>
      <c r="Q247" s="90"/>
      <c r="R247" s="90"/>
      <c r="S247" s="90"/>
      <c r="T247" s="90"/>
      <c r="U247" s="90"/>
      <c r="V247" s="90"/>
      <c r="W247" s="90"/>
    </row>
    <row r="248" spans="1:23">
      <c r="A248" s="91" t="str">
        <f>A184</f>
        <v>DAP</v>
      </c>
      <c r="B248" s="91"/>
      <c r="C248" s="244"/>
      <c r="D248" s="92">
        <f t="shared" ref="D248:J248" si="64">C116*$C$248*D124</f>
        <v>0</v>
      </c>
      <c r="E248" s="92">
        <f t="shared" si="64"/>
        <v>0</v>
      </c>
      <c r="F248" s="92">
        <f t="shared" si="64"/>
        <v>0</v>
      </c>
      <c r="G248" s="92">
        <f t="shared" si="64"/>
        <v>0</v>
      </c>
      <c r="H248" s="92">
        <f t="shared" si="64"/>
        <v>0</v>
      </c>
      <c r="I248" s="92">
        <f t="shared" si="64"/>
        <v>0</v>
      </c>
      <c r="J248" s="92">
        <f t="shared" si="64"/>
        <v>0</v>
      </c>
      <c r="K248" s="90"/>
      <c r="L248" s="90"/>
      <c r="M248" s="90"/>
      <c r="N248" s="90"/>
      <c r="O248" s="90"/>
      <c r="P248" s="90"/>
      <c r="Q248" s="90"/>
      <c r="R248" s="90"/>
      <c r="S248" s="90"/>
      <c r="T248" s="90"/>
      <c r="U248" s="90"/>
      <c r="V248" s="90"/>
      <c r="W248" s="90"/>
    </row>
    <row r="249" spans="1:23">
      <c r="A249" s="91"/>
      <c r="B249" s="91"/>
      <c r="C249" s="92"/>
      <c r="D249" s="92"/>
      <c r="E249" s="92"/>
      <c r="F249" s="92"/>
      <c r="G249" s="92"/>
      <c r="H249" s="92"/>
      <c r="I249" s="92"/>
      <c r="J249" s="92"/>
      <c r="K249" s="90"/>
      <c r="L249" s="90"/>
      <c r="M249" s="90"/>
      <c r="N249" s="90"/>
      <c r="O249" s="90"/>
      <c r="P249" s="90"/>
      <c r="Q249" s="90"/>
      <c r="R249" s="90"/>
      <c r="S249" s="90"/>
      <c r="T249" s="90"/>
      <c r="U249" s="90"/>
      <c r="V249" s="90"/>
      <c r="W249" s="90"/>
    </row>
    <row r="250" spans="1:23">
      <c r="A250" s="91" t="str">
        <f>A186</f>
        <v>Pesticide</v>
      </c>
      <c r="B250" s="91"/>
      <c r="C250" s="92"/>
      <c r="D250" s="92"/>
      <c r="E250" s="92"/>
      <c r="F250" s="92"/>
      <c r="G250" s="92"/>
      <c r="H250" s="92"/>
      <c r="I250" s="92"/>
      <c r="J250" s="92"/>
      <c r="K250" s="90"/>
      <c r="L250" s="90"/>
      <c r="M250" s="90"/>
      <c r="N250" s="90"/>
      <c r="O250" s="90"/>
      <c r="P250" s="90"/>
      <c r="Q250" s="90"/>
      <c r="R250" s="90"/>
      <c r="S250" s="90"/>
      <c r="T250" s="90"/>
      <c r="U250" s="90"/>
      <c r="V250" s="90"/>
      <c r="W250" s="90"/>
    </row>
    <row r="251" spans="1:23">
      <c r="A251" s="91" t="str">
        <f>A187</f>
        <v>Dupont Coragen</v>
      </c>
      <c r="B251" s="91"/>
      <c r="C251" s="244"/>
      <c r="D251" s="92">
        <f t="shared" ref="D251:J251" si="65">C118*$C$251*D124</f>
        <v>0</v>
      </c>
      <c r="E251" s="92">
        <f t="shared" si="65"/>
        <v>0</v>
      </c>
      <c r="F251" s="92">
        <f t="shared" si="65"/>
        <v>0</v>
      </c>
      <c r="G251" s="92">
        <f t="shared" si="65"/>
        <v>0</v>
      </c>
      <c r="H251" s="92">
        <f t="shared" si="65"/>
        <v>0</v>
      </c>
      <c r="I251" s="92">
        <f t="shared" si="65"/>
        <v>0</v>
      </c>
      <c r="J251" s="92">
        <f t="shared" si="65"/>
        <v>0</v>
      </c>
      <c r="K251" s="90"/>
      <c r="L251" s="90"/>
      <c r="M251" s="90"/>
      <c r="N251" s="90"/>
      <c r="O251" s="90"/>
      <c r="P251" s="90"/>
      <c r="Q251" s="90"/>
      <c r="R251" s="90"/>
      <c r="S251" s="90"/>
      <c r="T251" s="90"/>
      <c r="U251" s="90"/>
      <c r="V251" s="90"/>
      <c r="W251" s="90"/>
    </row>
    <row r="252" spans="1:23">
      <c r="A252" s="91" t="str">
        <f>A188</f>
        <v>Confidor Boyer</v>
      </c>
      <c r="B252" s="91"/>
      <c r="C252" s="244"/>
      <c r="D252" s="92">
        <f t="shared" ref="D252:J252" si="66">C119*$C$252*D124</f>
        <v>0</v>
      </c>
      <c r="E252" s="92">
        <f t="shared" si="66"/>
        <v>0</v>
      </c>
      <c r="F252" s="92">
        <f t="shared" si="66"/>
        <v>0</v>
      </c>
      <c r="G252" s="92">
        <f t="shared" si="66"/>
        <v>0</v>
      </c>
      <c r="H252" s="92">
        <f t="shared" si="66"/>
        <v>0</v>
      </c>
      <c r="I252" s="92">
        <f t="shared" si="66"/>
        <v>0</v>
      </c>
      <c r="J252" s="92">
        <f t="shared" si="66"/>
        <v>0</v>
      </c>
      <c r="K252" s="90"/>
      <c r="L252" s="90"/>
      <c r="M252" s="90"/>
      <c r="N252" s="90"/>
      <c r="O252" s="90"/>
      <c r="P252" s="90"/>
      <c r="Q252" s="90"/>
      <c r="R252" s="90"/>
      <c r="S252" s="90"/>
      <c r="T252" s="90"/>
      <c r="U252" s="90"/>
      <c r="V252" s="90"/>
      <c r="W252" s="90"/>
    </row>
    <row r="253" spans="1:23">
      <c r="A253" s="91"/>
      <c r="B253" s="91"/>
      <c r="C253" s="92"/>
      <c r="D253" s="92"/>
      <c r="E253" s="92"/>
      <c r="F253" s="92"/>
      <c r="G253" s="92"/>
      <c r="H253" s="92"/>
      <c r="I253" s="92"/>
      <c r="J253" s="92"/>
      <c r="K253" s="90"/>
      <c r="L253" s="90"/>
      <c r="M253" s="90"/>
      <c r="N253" s="90"/>
      <c r="O253" s="90"/>
      <c r="P253" s="90"/>
      <c r="Q253" s="90"/>
      <c r="R253" s="90"/>
      <c r="S253" s="90"/>
      <c r="T253" s="90"/>
      <c r="U253" s="90"/>
      <c r="V253" s="90"/>
      <c r="W253" s="90"/>
    </row>
    <row r="254" spans="1:23">
      <c r="A254" s="91" t="s">
        <v>289</v>
      </c>
      <c r="B254" s="91"/>
      <c r="C254" s="244"/>
      <c r="D254" s="92">
        <f t="shared" ref="D254:J254" si="67">(SUM(C63:C119)/50)*$C$254*D124</f>
        <v>0</v>
      </c>
      <c r="E254" s="92">
        <f t="shared" si="67"/>
        <v>0</v>
      </c>
      <c r="F254" s="92">
        <f t="shared" si="67"/>
        <v>0</v>
      </c>
      <c r="G254" s="92">
        <f t="shared" si="67"/>
        <v>0</v>
      </c>
      <c r="H254" s="92">
        <f t="shared" si="67"/>
        <v>0</v>
      </c>
      <c r="I254" s="92">
        <f t="shared" si="67"/>
        <v>0</v>
      </c>
      <c r="J254" s="92">
        <f t="shared" si="67"/>
        <v>0</v>
      </c>
      <c r="K254" s="90"/>
      <c r="L254" s="90"/>
      <c r="M254" s="90"/>
      <c r="N254" s="90"/>
      <c r="O254" s="90"/>
      <c r="P254" s="90"/>
      <c r="Q254" s="90"/>
      <c r="R254" s="90"/>
      <c r="S254" s="90"/>
      <c r="T254" s="90"/>
      <c r="U254" s="90"/>
      <c r="V254" s="90"/>
      <c r="W254" s="90"/>
    </row>
    <row r="255" spans="1:23">
      <c r="A255" s="91" t="s">
        <v>172</v>
      </c>
      <c r="B255" s="91"/>
      <c r="C255" s="244"/>
      <c r="D255" s="92">
        <f t="shared" ref="D255:J255" si="68">(SUM(C63:C119)/50)*$C$255*D124</f>
        <v>0</v>
      </c>
      <c r="E255" s="92">
        <f t="shared" si="68"/>
        <v>0</v>
      </c>
      <c r="F255" s="92">
        <f t="shared" si="68"/>
        <v>0</v>
      </c>
      <c r="G255" s="92">
        <f t="shared" si="68"/>
        <v>0</v>
      </c>
      <c r="H255" s="92">
        <f t="shared" si="68"/>
        <v>0</v>
      </c>
      <c r="I255" s="92">
        <f t="shared" si="68"/>
        <v>0</v>
      </c>
      <c r="J255" s="92">
        <f t="shared" si="68"/>
        <v>0</v>
      </c>
      <c r="K255" s="90"/>
      <c r="L255" s="90"/>
      <c r="M255" s="90"/>
      <c r="N255" s="90"/>
      <c r="O255" s="90"/>
      <c r="P255" s="90"/>
      <c r="Q255" s="90"/>
      <c r="R255" s="90"/>
      <c r="S255" s="90"/>
      <c r="T255" s="90"/>
      <c r="U255" s="90"/>
      <c r="V255" s="90"/>
      <c r="W255" s="90"/>
    </row>
    <row r="256" spans="1:23">
      <c r="A256" s="91"/>
      <c r="B256" s="91"/>
      <c r="C256" s="244"/>
      <c r="D256" s="202"/>
      <c r="E256" s="92"/>
      <c r="F256" s="92"/>
      <c r="G256" s="92"/>
      <c r="H256" s="92"/>
      <c r="I256" s="92"/>
      <c r="J256" s="92"/>
      <c r="K256" s="90"/>
      <c r="L256" s="90"/>
      <c r="M256" s="90"/>
      <c r="N256" s="90"/>
      <c r="O256" s="90"/>
      <c r="P256" s="90"/>
      <c r="Q256" s="90"/>
      <c r="R256" s="90"/>
      <c r="S256" s="90"/>
      <c r="T256" s="90"/>
      <c r="U256" s="90"/>
      <c r="V256" s="90"/>
      <c r="W256" s="90"/>
    </row>
    <row r="257" spans="1:23">
      <c r="A257" s="91"/>
      <c r="B257" s="91"/>
      <c r="C257" s="244"/>
      <c r="D257" s="202"/>
      <c r="E257" s="92"/>
      <c r="F257" s="92"/>
      <c r="G257" s="92"/>
      <c r="H257" s="92"/>
      <c r="I257" s="92"/>
      <c r="J257" s="92"/>
      <c r="K257" s="90"/>
      <c r="L257" s="90"/>
      <c r="M257" s="90"/>
      <c r="N257" s="90"/>
      <c r="O257" s="90"/>
      <c r="P257" s="90"/>
      <c r="Q257" s="90"/>
      <c r="R257" s="90"/>
      <c r="S257" s="90"/>
      <c r="T257" s="90"/>
      <c r="U257" s="90"/>
      <c r="V257" s="90"/>
      <c r="W257" s="90"/>
    </row>
    <row r="258" spans="1:23">
      <c r="A258" s="91"/>
      <c r="B258" s="91"/>
      <c r="C258" s="244"/>
      <c r="D258" s="202"/>
      <c r="E258" s="92"/>
      <c r="F258" s="92"/>
      <c r="G258" s="92"/>
      <c r="H258" s="92"/>
      <c r="I258" s="92"/>
      <c r="J258" s="92"/>
      <c r="K258" s="90"/>
      <c r="L258" s="90"/>
      <c r="M258" s="90"/>
      <c r="N258" s="90"/>
      <c r="O258" s="90"/>
      <c r="P258" s="90"/>
      <c r="Q258" s="90"/>
      <c r="R258" s="90"/>
      <c r="S258" s="90"/>
      <c r="T258" s="90"/>
      <c r="U258" s="90"/>
      <c r="V258" s="90"/>
      <c r="W258" s="90"/>
    </row>
    <row r="259" spans="1:23">
      <c r="A259" s="91"/>
      <c r="B259" s="91"/>
      <c r="C259" s="244"/>
      <c r="D259" s="202"/>
      <c r="E259" s="92"/>
      <c r="F259" s="92"/>
      <c r="G259" s="92"/>
      <c r="H259" s="92"/>
      <c r="I259" s="92"/>
      <c r="J259" s="92"/>
      <c r="K259" s="90"/>
      <c r="L259" s="90"/>
      <c r="M259" s="90"/>
      <c r="N259" s="90"/>
      <c r="O259" s="90"/>
      <c r="P259" s="90"/>
      <c r="Q259" s="90"/>
      <c r="R259" s="90"/>
      <c r="S259" s="90"/>
      <c r="T259" s="90"/>
      <c r="U259" s="90"/>
      <c r="V259" s="90"/>
      <c r="W259" s="90"/>
    </row>
    <row r="260" spans="1:23">
      <c r="A260" s="91" t="s">
        <v>336</v>
      </c>
      <c r="B260" s="91"/>
      <c r="C260" s="92"/>
      <c r="D260" s="202"/>
      <c r="E260" s="92">
        <f>'5.Closing Stock &amp; W Capital'!F6</f>
        <v>0</v>
      </c>
      <c r="F260" s="92">
        <f>'5.Closing Stock &amp; W Capital'!G6</f>
        <v>0</v>
      </c>
      <c r="G260" s="92">
        <f>'5.Closing Stock &amp; W Capital'!H6</f>
        <v>0</v>
      </c>
      <c r="H260" s="92">
        <f>'5.Closing Stock &amp; W Capital'!I6</f>
        <v>0</v>
      </c>
      <c r="I260" s="92">
        <f>'5.Closing Stock &amp; W Capital'!J6</f>
        <v>0</v>
      </c>
      <c r="J260" s="92">
        <f>'5.Closing Stock &amp; W Capital'!K6</f>
        <v>0</v>
      </c>
      <c r="K260" s="90"/>
      <c r="L260" s="90"/>
      <c r="M260" s="90"/>
      <c r="N260" s="90"/>
      <c r="O260" s="90"/>
      <c r="P260" s="90"/>
      <c r="Q260" s="90"/>
      <c r="R260" s="90"/>
      <c r="S260" s="90"/>
      <c r="T260" s="90"/>
      <c r="U260" s="90"/>
      <c r="V260" s="90"/>
      <c r="W260" s="90"/>
    </row>
    <row r="261" spans="1:23">
      <c r="A261" s="95" t="s">
        <v>337</v>
      </c>
      <c r="B261" s="91"/>
      <c r="C261" s="91"/>
      <c r="D261" s="202">
        <f>'5.Closing Stock &amp; W Capital'!E15</f>
        <v>0</v>
      </c>
      <c r="E261" s="92">
        <f>'5.Closing Stock &amp; W Capital'!F15</f>
        <v>0</v>
      </c>
      <c r="F261" s="92">
        <f>'5.Closing Stock &amp; W Capital'!G15</f>
        <v>0</v>
      </c>
      <c r="G261" s="92">
        <f>'5.Closing Stock &amp; W Capital'!H15</f>
        <v>0</v>
      </c>
      <c r="H261" s="92">
        <f>'5.Closing Stock &amp; W Capital'!I15</f>
        <v>0</v>
      </c>
      <c r="I261" s="92">
        <f>'5.Closing Stock &amp; W Capital'!J15</f>
        <v>0</v>
      </c>
      <c r="J261" s="92">
        <f>'5.Closing Stock &amp; W Capital'!K15</f>
        <v>0</v>
      </c>
      <c r="K261" s="90"/>
      <c r="L261" s="90"/>
      <c r="M261" s="90"/>
      <c r="N261" s="90"/>
      <c r="O261" s="90"/>
      <c r="P261" s="90"/>
      <c r="Q261" s="90"/>
      <c r="R261" s="90"/>
      <c r="S261" s="90"/>
      <c r="T261" s="90"/>
      <c r="U261" s="90"/>
      <c r="V261" s="90"/>
      <c r="W261" s="90"/>
    </row>
    <row r="262" spans="1:23">
      <c r="A262" s="91"/>
      <c r="B262" s="91"/>
      <c r="C262" s="91"/>
      <c r="D262" s="90"/>
      <c r="E262" s="90"/>
      <c r="F262" s="90"/>
      <c r="G262" s="90"/>
      <c r="H262" s="90"/>
      <c r="I262" s="90"/>
      <c r="J262" s="90"/>
      <c r="K262" s="90"/>
      <c r="L262" s="90"/>
      <c r="M262" s="90"/>
      <c r="N262" s="90"/>
      <c r="O262" s="90"/>
      <c r="P262" s="90"/>
      <c r="Q262" s="90"/>
      <c r="R262" s="90"/>
      <c r="S262" s="90"/>
      <c r="T262" s="90"/>
      <c r="U262" s="90"/>
      <c r="V262" s="90"/>
      <c r="W262" s="90"/>
    </row>
    <row r="263" spans="1:23">
      <c r="A263" s="93" t="s">
        <v>314</v>
      </c>
      <c r="B263" s="93"/>
      <c r="C263" s="111"/>
      <c r="D263" s="111">
        <f>SUM(D198:D259)+D260-D261</f>
        <v>0</v>
      </c>
      <c r="E263" s="111">
        <f t="shared" ref="E263:J263" si="69">SUM(E198:E259)+E260-E261</f>
        <v>0</v>
      </c>
      <c r="F263" s="111">
        <f t="shared" si="69"/>
        <v>0</v>
      </c>
      <c r="G263" s="111">
        <f t="shared" si="69"/>
        <v>0</v>
      </c>
      <c r="H263" s="111">
        <f t="shared" si="69"/>
        <v>0</v>
      </c>
      <c r="I263" s="111">
        <f t="shared" si="69"/>
        <v>0</v>
      </c>
      <c r="J263" s="111">
        <f t="shared" si="69"/>
        <v>0</v>
      </c>
      <c r="K263" s="90"/>
      <c r="L263" s="90"/>
      <c r="M263" s="90"/>
      <c r="N263" s="90"/>
      <c r="O263" s="90"/>
      <c r="P263" s="90"/>
      <c r="Q263" s="90"/>
      <c r="R263" s="90"/>
      <c r="S263" s="90"/>
      <c r="T263" s="90"/>
      <c r="U263" s="90"/>
      <c r="V263" s="90"/>
      <c r="W263" s="90"/>
    </row>
    <row r="264" spans="1:23">
      <c r="A264" s="91"/>
      <c r="B264" s="91"/>
      <c r="C264" s="92"/>
      <c r="D264" s="92"/>
      <c r="E264" s="92"/>
      <c r="F264" s="92"/>
      <c r="G264" s="92"/>
      <c r="H264" s="92"/>
      <c r="I264" s="92"/>
      <c r="J264" s="92"/>
      <c r="K264" s="90"/>
      <c r="L264" s="90"/>
      <c r="M264" s="90"/>
      <c r="N264" s="90"/>
      <c r="O264" s="90"/>
      <c r="P264" s="90"/>
      <c r="Q264" s="90"/>
      <c r="R264" s="90"/>
      <c r="S264" s="90"/>
      <c r="T264" s="90"/>
      <c r="U264" s="90"/>
      <c r="V264" s="90"/>
      <c r="W264" s="90"/>
    </row>
    <row r="265" spans="1:23">
      <c r="A265" s="93" t="s">
        <v>306</v>
      </c>
      <c r="B265" s="93"/>
      <c r="C265" s="92"/>
      <c r="D265" s="92"/>
      <c r="E265" s="92"/>
      <c r="F265" s="92"/>
      <c r="G265" s="92"/>
      <c r="H265" s="92"/>
      <c r="I265" s="92"/>
      <c r="J265" s="92"/>
      <c r="K265" s="90"/>
      <c r="L265" s="90"/>
      <c r="M265" s="90"/>
      <c r="N265" s="90"/>
      <c r="O265" s="90"/>
      <c r="P265" s="90"/>
      <c r="Q265" s="90"/>
      <c r="R265" s="90"/>
      <c r="S265" s="90"/>
      <c r="T265" s="90"/>
      <c r="U265" s="90"/>
      <c r="V265" s="90"/>
      <c r="W265" s="90"/>
    </row>
    <row r="266" spans="1:23">
      <c r="A266" s="91" t="s">
        <v>319</v>
      </c>
      <c r="B266" s="91">
        <v>12</v>
      </c>
      <c r="C266" s="244"/>
      <c r="D266" s="92">
        <f t="shared" ref="D266:J266" si="70">$B$266*$C$266*D124</f>
        <v>0</v>
      </c>
      <c r="E266" s="92">
        <f t="shared" si="70"/>
        <v>0</v>
      </c>
      <c r="F266" s="92">
        <f t="shared" si="70"/>
        <v>0</v>
      </c>
      <c r="G266" s="92">
        <f t="shared" si="70"/>
        <v>0</v>
      </c>
      <c r="H266" s="92">
        <f t="shared" si="70"/>
        <v>0</v>
      </c>
      <c r="I266" s="92">
        <f t="shared" si="70"/>
        <v>0</v>
      </c>
      <c r="J266" s="92">
        <f t="shared" si="70"/>
        <v>0</v>
      </c>
      <c r="K266" s="90"/>
      <c r="L266" s="90"/>
      <c r="M266" s="90"/>
      <c r="N266" s="90"/>
      <c r="O266" s="90"/>
      <c r="P266" s="90"/>
      <c r="Q266" s="90"/>
      <c r="R266" s="90"/>
      <c r="S266" s="90"/>
      <c r="T266" s="90"/>
      <c r="U266" s="90"/>
      <c r="V266" s="90"/>
      <c r="W266" s="90"/>
    </row>
    <row r="267" spans="1:23">
      <c r="A267" s="91" t="s">
        <v>320</v>
      </c>
      <c r="B267" s="224">
        <v>1</v>
      </c>
      <c r="C267" s="244"/>
      <c r="D267" s="92">
        <f t="shared" ref="D267:J267" si="71">$B$267*$C$267*12*D124</f>
        <v>0</v>
      </c>
      <c r="E267" s="92">
        <f t="shared" si="71"/>
        <v>0</v>
      </c>
      <c r="F267" s="92">
        <f t="shared" si="71"/>
        <v>0</v>
      </c>
      <c r="G267" s="92">
        <f t="shared" si="71"/>
        <v>0</v>
      </c>
      <c r="H267" s="92">
        <f t="shared" si="71"/>
        <v>0</v>
      </c>
      <c r="I267" s="92">
        <f t="shared" si="71"/>
        <v>0</v>
      </c>
      <c r="J267" s="92">
        <f t="shared" si="71"/>
        <v>0</v>
      </c>
      <c r="K267" s="90"/>
      <c r="L267" s="90"/>
      <c r="M267" s="90"/>
      <c r="N267" s="90"/>
      <c r="O267" s="90"/>
      <c r="P267" s="90"/>
      <c r="Q267" s="90"/>
      <c r="R267" s="90"/>
      <c r="S267" s="90"/>
      <c r="T267" s="90"/>
      <c r="U267" s="90"/>
      <c r="V267" s="90"/>
      <c r="W267" s="90"/>
    </row>
    <row r="268" spans="1:23">
      <c r="A268" s="91" t="s">
        <v>191</v>
      </c>
      <c r="B268" s="224">
        <v>1</v>
      </c>
      <c r="C268" s="244"/>
      <c r="D268" s="92">
        <f t="shared" ref="D268:J268" si="72">$B$268*$C$268*12*D124</f>
        <v>0</v>
      </c>
      <c r="E268" s="92">
        <f t="shared" si="72"/>
        <v>0</v>
      </c>
      <c r="F268" s="92">
        <f t="shared" si="72"/>
        <v>0</v>
      </c>
      <c r="G268" s="92">
        <f t="shared" si="72"/>
        <v>0</v>
      </c>
      <c r="H268" s="92">
        <f t="shared" si="72"/>
        <v>0</v>
      </c>
      <c r="I268" s="92">
        <f t="shared" si="72"/>
        <v>0</v>
      </c>
      <c r="J268" s="92">
        <f t="shared" si="72"/>
        <v>0</v>
      </c>
      <c r="K268" s="90"/>
      <c r="L268" s="90"/>
      <c r="M268" s="90"/>
      <c r="N268" s="90"/>
      <c r="O268" s="90"/>
      <c r="P268" s="90"/>
      <c r="Q268" s="90"/>
      <c r="R268" s="90"/>
      <c r="S268" s="90"/>
      <c r="T268" s="90"/>
      <c r="U268" s="90"/>
      <c r="V268" s="90"/>
      <c r="W268" s="90"/>
    </row>
    <row r="269" spans="1:23">
      <c r="A269" s="91" t="s">
        <v>321</v>
      </c>
      <c r="B269" s="91">
        <v>12</v>
      </c>
      <c r="C269" s="244"/>
      <c r="D269" s="92">
        <f t="shared" ref="D269:J269" si="73">$B$269*$C$269*D124</f>
        <v>0</v>
      </c>
      <c r="E269" s="92">
        <f t="shared" si="73"/>
        <v>0</v>
      </c>
      <c r="F269" s="92">
        <f t="shared" si="73"/>
        <v>0</v>
      </c>
      <c r="G269" s="92">
        <f t="shared" si="73"/>
        <v>0</v>
      </c>
      <c r="H269" s="92">
        <f t="shared" si="73"/>
        <v>0</v>
      </c>
      <c r="I269" s="92">
        <f t="shared" si="73"/>
        <v>0</v>
      </c>
      <c r="J269" s="92">
        <f t="shared" si="73"/>
        <v>0</v>
      </c>
      <c r="K269" s="90"/>
      <c r="L269" s="90"/>
      <c r="M269" s="90"/>
      <c r="N269" s="90"/>
      <c r="O269" s="90"/>
      <c r="P269" s="90"/>
      <c r="Q269" s="90"/>
      <c r="R269" s="90"/>
      <c r="S269" s="90"/>
      <c r="T269" s="90"/>
      <c r="U269" s="90"/>
      <c r="V269" s="90"/>
      <c r="W269" s="90"/>
    </row>
    <row r="270" spans="1:23">
      <c r="A270" s="91"/>
      <c r="B270" s="91"/>
      <c r="C270" s="244"/>
      <c r="D270" s="92"/>
      <c r="E270" s="92"/>
      <c r="F270" s="92"/>
      <c r="G270" s="92"/>
      <c r="H270" s="92"/>
      <c r="I270" s="92"/>
      <c r="J270" s="92"/>
      <c r="K270" s="90"/>
      <c r="L270" s="90"/>
      <c r="M270" s="90"/>
      <c r="N270" s="90"/>
      <c r="O270" s="90"/>
      <c r="P270" s="90"/>
      <c r="Q270" s="90"/>
      <c r="R270" s="90"/>
      <c r="S270" s="90"/>
      <c r="T270" s="90"/>
      <c r="U270" s="90"/>
      <c r="V270" s="90"/>
      <c r="W270" s="90"/>
    </row>
    <row r="271" spans="1:23">
      <c r="A271" s="91"/>
      <c r="B271" s="91"/>
      <c r="C271" s="244"/>
      <c r="D271" s="92"/>
      <c r="E271" s="92"/>
      <c r="F271" s="92"/>
      <c r="G271" s="92"/>
      <c r="H271" s="92"/>
      <c r="I271" s="92"/>
      <c r="J271" s="92"/>
      <c r="K271" s="90"/>
      <c r="L271" s="90"/>
      <c r="M271" s="90"/>
      <c r="N271" s="90"/>
      <c r="O271" s="90"/>
      <c r="P271" s="90"/>
      <c r="Q271" s="90"/>
      <c r="R271" s="90"/>
      <c r="S271" s="90"/>
      <c r="T271" s="90"/>
      <c r="U271" s="90"/>
      <c r="V271" s="90"/>
      <c r="W271" s="90"/>
    </row>
    <row r="272" spans="1:23">
      <c r="A272" s="91"/>
      <c r="B272" s="91"/>
      <c r="C272" s="244"/>
      <c r="D272" s="92"/>
      <c r="E272" s="92"/>
      <c r="F272" s="92"/>
      <c r="G272" s="92"/>
      <c r="H272" s="92"/>
      <c r="I272" s="92"/>
      <c r="J272" s="92"/>
      <c r="K272" s="90"/>
      <c r="L272" s="90"/>
      <c r="M272" s="90"/>
      <c r="N272" s="90"/>
      <c r="O272" s="90"/>
      <c r="P272" s="90"/>
      <c r="Q272" s="90"/>
      <c r="R272" s="90"/>
      <c r="S272" s="90"/>
      <c r="T272" s="90"/>
      <c r="U272" s="90"/>
      <c r="V272" s="90"/>
      <c r="W272" s="90"/>
    </row>
    <row r="273" spans="1:23">
      <c r="A273" s="91"/>
      <c r="B273" s="91"/>
      <c r="C273" s="244"/>
      <c r="D273" s="92"/>
      <c r="E273" s="92"/>
      <c r="F273" s="92"/>
      <c r="G273" s="92"/>
      <c r="H273" s="92"/>
      <c r="I273" s="92"/>
      <c r="J273" s="92"/>
      <c r="K273" s="90"/>
      <c r="L273" s="90"/>
      <c r="M273" s="90"/>
      <c r="N273" s="90"/>
      <c r="O273" s="90"/>
      <c r="P273" s="90"/>
      <c r="Q273" s="90"/>
      <c r="R273" s="90"/>
      <c r="S273" s="90"/>
      <c r="T273" s="90"/>
      <c r="U273" s="90"/>
      <c r="V273" s="90"/>
      <c r="W273" s="90"/>
    </row>
    <row r="274" spans="1:23">
      <c r="A274" s="93" t="s">
        <v>318</v>
      </c>
      <c r="B274" s="93"/>
      <c r="C274" s="111"/>
      <c r="D274" s="111">
        <f>SUM(D266:D273)</f>
        <v>0</v>
      </c>
      <c r="E274" s="111">
        <f t="shared" ref="E274:J274" si="74">SUM(E266:E273)</f>
        <v>0</v>
      </c>
      <c r="F274" s="111">
        <f t="shared" si="74"/>
        <v>0</v>
      </c>
      <c r="G274" s="111">
        <f t="shared" si="74"/>
        <v>0</v>
      </c>
      <c r="H274" s="111">
        <f t="shared" si="74"/>
        <v>0</v>
      </c>
      <c r="I274" s="111">
        <f t="shared" si="74"/>
        <v>0</v>
      </c>
      <c r="J274" s="111">
        <f t="shared" si="74"/>
        <v>0</v>
      </c>
      <c r="K274" s="90"/>
      <c r="L274" s="90"/>
      <c r="M274" s="90"/>
      <c r="N274" s="90"/>
      <c r="O274" s="90"/>
      <c r="P274" s="90"/>
      <c r="Q274" s="90"/>
      <c r="R274" s="90"/>
      <c r="S274" s="90"/>
      <c r="T274" s="90"/>
      <c r="U274" s="90"/>
      <c r="V274" s="90"/>
      <c r="W274" s="90"/>
    </row>
    <row r="275" spans="1:23">
      <c r="A275" s="192" t="s">
        <v>136</v>
      </c>
      <c r="B275" s="192"/>
      <c r="C275" s="203"/>
      <c r="D275" s="111">
        <f t="shared" ref="D275:J275" si="75">D263+D274</f>
        <v>0</v>
      </c>
      <c r="E275" s="111">
        <f t="shared" si="75"/>
        <v>0</v>
      </c>
      <c r="F275" s="111">
        <f t="shared" si="75"/>
        <v>0</v>
      </c>
      <c r="G275" s="111">
        <f t="shared" si="75"/>
        <v>0</v>
      </c>
      <c r="H275" s="111">
        <f t="shared" si="75"/>
        <v>0</v>
      </c>
      <c r="I275" s="111">
        <f t="shared" si="75"/>
        <v>0</v>
      </c>
      <c r="J275" s="111">
        <f t="shared" si="75"/>
        <v>0</v>
      </c>
      <c r="K275" s="90"/>
      <c r="L275" s="90"/>
      <c r="M275" s="90"/>
      <c r="N275" s="90"/>
      <c r="O275" s="90"/>
      <c r="P275" s="90"/>
      <c r="Q275" s="90"/>
      <c r="R275" s="90"/>
      <c r="S275" s="90"/>
      <c r="T275" s="90"/>
      <c r="U275" s="90"/>
      <c r="V275" s="90"/>
      <c r="W275" s="90"/>
    </row>
    <row r="276" spans="1:23">
      <c r="A276" s="91"/>
      <c r="B276" s="91"/>
      <c r="C276" s="92"/>
      <c r="D276" s="92"/>
      <c r="E276" s="92"/>
      <c r="F276" s="92"/>
      <c r="G276" s="92"/>
      <c r="H276" s="92"/>
      <c r="I276" s="92"/>
      <c r="J276" s="92"/>
      <c r="K276" s="90"/>
      <c r="L276" s="90"/>
      <c r="M276" s="90"/>
      <c r="N276" s="90"/>
      <c r="O276" s="90"/>
      <c r="P276" s="90"/>
      <c r="Q276" s="90"/>
      <c r="R276" s="90"/>
      <c r="S276" s="90"/>
      <c r="T276" s="90"/>
      <c r="U276" s="90"/>
      <c r="V276" s="90"/>
      <c r="W276" s="90"/>
    </row>
    <row r="277" spans="1:23">
      <c r="A277" s="192" t="s">
        <v>7</v>
      </c>
      <c r="B277" s="192"/>
      <c r="C277" s="203"/>
      <c r="D277" s="111">
        <f t="shared" ref="D277:J277" si="76">D191-D275</f>
        <v>0</v>
      </c>
      <c r="E277" s="111">
        <f t="shared" si="76"/>
        <v>0</v>
      </c>
      <c r="F277" s="111">
        <f t="shared" si="76"/>
        <v>0</v>
      </c>
      <c r="G277" s="111">
        <f t="shared" si="76"/>
        <v>0</v>
      </c>
      <c r="H277" s="111">
        <f t="shared" si="76"/>
        <v>0</v>
      </c>
      <c r="I277" s="111">
        <f t="shared" si="76"/>
        <v>0</v>
      </c>
      <c r="J277" s="111">
        <f t="shared" si="76"/>
        <v>0</v>
      </c>
      <c r="K277" s="90"/>
      <c r="L277" s="90"/>
      <c r="M277" s="90"/>
      <c r="N277" s="90"/>
      <c r="O277" s="90"/>
      <c r="P277" s="90"/>
      <c r="Q277" s="90"/>
      <c r="R277" s="90"/>
      <c r="S277" s="90"/>
      <c r="T277" s="90"/>
      <c r="U277" s="90"/>
      <c r="V277" s="90"/>
      <c r="W277" s="90"/>
    </row>
    <row r="278" spans="1:23">
      <c r="A278" s="112"/>
      <c r="B278" s="112"/>
      <c r="C278" s="112"/>
      <c r="D278" s="90"/>
      <c r="E278" s="90"/>
      <c r="F278" s="90"/>
      <c r="G278" s="90"/>
      <c r="H278" s="90"/>
      <c r="I278" s="90"/>
      <c r="J278" s="90"/>
      <c r="K278" s="90"/>
      <c r="L278" s="90"/>
      <c r="M278" s="90"/>
      <c r="N278" s="90"/>
      <c r="O278" s="90"/>
      <c r="P278" s="90"/>
      <c r="Q278" s="90"/>
      <c r="R278" s="90"/>
      <c r="S278" s="90"/>
      <c r="T278" s="90"/>
      <c r="U278" s="90"/>
      <c r="V278" s="90"/>
      <c r="W278" s="90"/>
    </row>
    <row r="279" spans="1:23">
      <c r="A279" s="90"/>
      <c r="B279" s="90"/>
      <c r="C279" s="90"/>
      <c r="D279" s="90"/>
      <c r="E279" s="90"/>
      <c r="F279" s="90"/>
      <c r="G279" s="90"/>
      <c r="H279" s="90"/>
      <c r="I279" s="90"/>
      <c r="J279" s="90"/>
      <c r="K279" s="90"/>
      <c r="L279" s="90"/>
      <c r="M279" s="90"/>
      <c r="N279" s="90"/>
      <c r="O279" s="90"/>
      <c r="P279" s="90"/>
      <c r="Q279" s="90"/>
      <c r="R279" s="90"/>
      <c r="S279" s="90"/>
      <c r="T279" s="90"/>
      <c r="U279" s="90"/>
      <c r="V279" s="90"/>
      <c r="W279" s="90"/>
    </row>
    <row r="280" spans="1:23">
      <c r="A280" s="472" t="s">
        <v>410</v>
      </c>
      <c r="B280" s="472"/>
      <c r="C280" s="472"/>
      <c r="D280" s="472"/>
      <c r="E280" s="472"/>
      <c r="F280" s="472"/>
      <c r="G280" s="472"/>
      <c r="H280" s="472"/>
      <c r="I280" s="472"/>
      <c r="J280" s="472"/>
    </row>
    <row r="282" spans="1:23">
      <c r="A282" t="s">
        <v>530</v>
      </c>
    </row>
    <row r="283" spans="1:23">
      <c r="A283">
        <v>1</v>
      </c>
      <c r="B283" t="s">
        <v>543</v>
      </c>
    </row>
    <row r="284" spans="1:23">
      <c r="A284">
        <v>2</v>
      </c>
      <c r="B284" t="s">
        <v>544</v>
      </c>
    </row>
    <row r="285" spans="1:23">
      <c r="A285">
        <v>3</v>
      </c>
      <c r="B285" s="90" t="s">
        <v>595</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200"/>
  <sheetViews>
    <sheetView tabSelected="1" view="pageBreakPreview" topLeftCell="A151" zoomScale="80" zoomScaleSheetLayoutView="80" workbookViewId="0">
      <selection activeCell="D166" sqref="D166:J166"/>
    </sheetView>
  </sheetViews>
  <sheetFormatPr defaultRowHeight="14.5"/>
  <cols>
    <col min="1" max="1" width="41.7265625" bestFit="1" customWidth="1"/>
    <col min="2" max="2" width="11.54296875" bestFit="1" customWidth="1"/>
    <col min="3" max="3" width="12.54296875" bestFit="1" customWidth="1"/>
    <col min="4" max="4" width="15.1796875" customWidth="1"/>
    <col min="5" max="8" width="17.26953125" customWidth="1"/>
    <col min="9" max="10" width="16.81640625" bestFit="1" customWidth="1"/>
  </cols>
  <sheetData>
    <row r="3" spans="1:8" ht="17.5">
      <c r="A3" s="473" t="s">
        <v>590</v>
      </c>
      <c r="B3" s="473"/>
      <c r="C3" s="473"/>
      <c r="D3" s="473"/>
      <c r="E3" s="473"/>
      <c r="F3" s="473"/>
      <c r="G3" s="473"/>
      <c r="H3" s="473"/>
    </row>
    <row r="4" spans="1:8" ht="17.5">
      <c r="A4" s="473" t="s">
        <v>591</v>
      </c>
      <c r="B4" s="473"/>
      <c r="C4" s="473"/>
      <c r="D4" s="473"/>
      <c r="E4" s="473"/>
      <c r="F4" s="473"/>
      <c r="G4" s="473"/>
      <c r="H4" s="473"/>
    </row>
    <row r="5" spans="1:8">
      <c r="A5" s="90" t="s">
        <v>161</v>
      </c>
      <c r="B5" s="237">
        <v>1</v>
      </c>
      <c r="C5" s="90" t="s">
        <v>460</v>
      </c>
      <c r="D5" s="90"/>
      <c r="E5" s="90"/>
      <c r="F5" s="90"/>
      <c r="G5" s="90"/>
      <c r="H5" s="90"/>
    </row>
    <row r="6" spans="1:8">
      <c r="A6" s="90" t="s">
        <v>162</v>
      </c>
      <c r="B6" s="266">
        <v>8</v>
      </c>
      <c r="C6" s="90"/>
      <c r="D6" s="90"/>
      <c r="E6" s="90"/>
      <c r="F6" s="90"/>
      <c r="G6" s="90"/>
      <c r="H6" s="90"/>
    </row>
    <row r="7" spans="1:8">
      <c r="A7" s="90"/>
      <c r="B7" s="266"/>
      <c r="C7" s="90"/>
      <c r="D7" s="90"/>
      <c r="E7" s="90"/>
      <c r="F7" s="90"/>
      <c r="G7" s="90"/>
      <c r="H7" s="90"/>
    </row>
    <row r="8" spans="1:8">
      <c r="A8" s="90"/>
      <c r="B8" s="266"/>
      <c r="C8" s="90"/>
      <c r="D8" s="90"/>
      <c r="E8" s="90"/>
      <c r="F8" s="90"/>
      <c r="G8" s="90"/>
      <c r="H8" s="90"/>
    </row>
    <row r="9" spans="1:8">
      <c r="A9" s="90"/>
      <c r="B9" s="90"/>
      <c r="C9" s="90"/>
      <c r="D9" s="90"/>
      <c r="E9" s="90"/>
      <c r="F9" s="90"/>
      <c r="G9" s="90"/>
      <c r="H9" s="90"/>
    </row>
    <row r="10" spans="1:8">
      <c r="A10" s="90"/>
      <c r="B10" s="90"/>
      <c r="C10" s="90"/>
      <c r="D10" s="90"/>
      <c r="E10" s="90"/>
      <c r="F10" s="90"/>
      <c r="G10" s="90"/>
      <c r="H10" s="90"/>
    </row>
    <row r="11" spans="1:8">
      <c r="A11" s="79" t="s">
        <v>0</v>
      </c>
      <c r="B11" s="80" t="s">
        <v>2</v>
      </c>
      <c r="C11" s="80" t="s">
        <v>3</v>
      </c>
      <c r="D11" s="80" t="s">
        <v>4</v>
      </c>
      <c r="E11" s="80" t="s">
        <v>5</v>
      </c>
      <c r="F11" s="80" t="s">
        <v>6</v>
      </c>
      <c r="G11" s="80" t="s">
        <v>169</v>
      </c>
      <c r="H11" s="80" t="s">
        <v>168</v>
      </c>
    </row>
    <row r="12" spans="1:8">
      <c r="A12" s="91" t="s">
        <v>170</v>
      </c>
      <c r="B12" s="300">
        <f t="shared" ref="B12:H12" si="0">B39/($B$5*$B$6)</f>
        <v>0</v>
      </c>
      <c r="C12" s="300">
        <f t="shared" si="0"/>
        <v>0</v>
      </c>
      <c r="D12" s="300">
        <f t="shared" si="0"/>
        <v>0</v>
      </c>
      <c r="E12" s="300">
        <f t="shared" si="0"/>
        <v>0</v>
      </c>
      <c r="F12" s="300">
        <f t="shared" si="0"/>
        <v>0</v>
      </c>
      <c r="G12" s="300">
        <f t="shared" si="0"/>
        <v>0</v>
      </c>
      <c r="H12" s="300">
        <f t="shared" si="0"/>
        <v>0</v>
      </c>
    </row>
    <row r="13" spans="1:8">
      <c r="A13" s="91" t="str">
        <f>'11.F&amp;V Crop Production details'!A74</f>
        <v>Onion</v>
      </c>
      <c r="B13" s="91">
        <f>'11.F&amp;V Crop Production details'!B74</f>
        <v>0</v>
      </c>
      <c r="C13" s="91">
        <f>'11.F&amp;V Crop Production details'!C74</f>
        <v>0</v>
      </c>
      <c r="D13" s="91">
        <f>'11.F&amp;V Crop Production details'!D74</f>
        <v>0</v>
      </c>
      <c r="E13" s="91">
        <f>'11.F&amp;V Crop Production details'!E74</f>
        <v>0</v>
      </c>
      <c r="F13" s="91">
        <f>'11.F&amp;V Crop Production details'!F74</f>
        <v>0</v>
      </c>
      <c r="G13" s="91">
        <f>'11.F&amp;V Crop Production details'!G74</f>
        <v>0</v>
      </c>
      <c r="H13" s="91">
        <f>'11.F&amp;V Crop Production details'!H74</f>
        <v>0</v>
      </c>
    </row>
    <row r="14" spans="1:8">
      <c r="A14" s="91" t="str">
        <f>'11.F&amp;V Crop Production details'!A75</f>
        <v>Tomato</v>
      </c>
      <c r="B14" s="91">
        <f>'11.F&amp;V Crop Production details'!B75</f>
        <v>0</v>
      </c>
      <c r="C14" s="91">
        <f>'11.F&amp;V Crop Production details'!C75</f>
        <v>0</v>
      </c>
      <c r="D14" s="91">
        <f>'11.F&amp;V Crop Production details'!D75</f>
        <v>0</v>
      </c>
      <c r="E14" s="91">
        <f>'11.F&amp;V Crop Production details'!E75</f>
        <v>0</v>
      </c>
      <c r="F14" s="91">
        <f>'11.F&amp;V Crop Production details'!F75</f>
        <v>0</v>
      </c>
      <c r="G14" s="91">
        <f>'11.F&amp;V Crop Production details'!G75</f>
        <v>0</v>
      </c>
      <c r="H14" s="91">
        <f>'11.F&amp;V Crop Production details'!H75</f>
        <v>0</v>
      </c>
    </row>
    <row r="15" spans="1:8">
      <c r="A15" s="91" t="str">
        <f>'11.F&amp;V Crop Production details'!A76</f>
        <v>Okra</v>
      </c>
      <c r="B15" s="91">
        <f>'11.F&amp;V Crop Production details'!B76</f>
        <v>0</v>
      </c>
      <c r="C15" s="91">
        <f>'11.F&amp;V Crop Production details'!C76</f>
        <v>0</v>
      </c>
      <c r="D15" s="91">
        <f>'11.F&amp;V Crop Production details'!D76</f>
        <v>0</v>
      </c>
      <c r="E15" s="91">
        <f>'11.F&amp;V Crop Production details'!E76</f>
        <v>0</v>
      </c>
      <c r="F15" s="91">
        <f>'11.F&amp;V Crop Production details'!F76</f>
        <v>0</v>
      </c>
      <c r="G15" s="91">
        <f>'11.F&amp;V Crop Production details'!G76</f>
        <v>0</v>
      </c>
      <c r="H15" s="91">
        <f>'11.F&amp;V Crop Production details'!H76</f>
        <v>0</v>
      </c>
    </row>
    <row r="16" spans="1:8">
      <c r="A16" s="91" t="str">
        <f>'11.F&amp;V Crop Production details'!A77</f>
        <v>Chilli</v>
      </c>
      <c r="B16" s="91">
        <f>'11.F&amp;V Crop Production details'!B77</f>
        <v>0</v>
      </c>
      <c r="C16" s="91">
        <f>'11.F&amp;V Crop Production details'!C77</f>
        <v>0</v>
      </c>
      <c r="D16" s="91">
        <f>'11.F&amp;V Crop Production details'!D77</f>
        <v>0</v>
      </c>
      <c r="E16" s="91">
        <f>'11.F&amp;V Crop Production details'!E77</f>
        <v>0</v>
      </c>
      <c r="F16" s="91">
        <f>'11.F&amp;V Crop Production details'!F77</f>
        <v>0</v>
      </c>
      <c r="G16" s="91">
        <f>'11.F&amp;V Crop Production details'!G77</f>
        <v>0</v>
      </c>
      <c r="H16" s="91">
        <f>'11.F&amp;V Crop Production details'!H77</f>
        <v>0</v>
      </c>
    </row>
    <row r="17" spans="1:8">
      <c r="A17" s="91" t="str">
        <f>'11.F&amp;V Crop Production details'!A78</f>
        <v>Potato</v>
      </c>
      <c r="B17" s="91">
        <f>'11.F&amp;V Crop Production details'!B78</f>
        <v>0</v>
      </c>
      <c r="C17" s="91">
        <f>'11.F&amp;V Crop Production details'!C78</f>
        <v>0</v>
      </c>
      <c r="D17" s="91">
        <f>'11.F&amp;V Crop Production details'!D78</f>
        <v>0</v>
      </c>
      <c r="E17" s="91">
        <f>'11.F&amp;V Crop Production details'!E78</f>
        <v>0</v>
      </c>
      <c r="F17" s="91">
        <f>'11.F&amp;V Crop Production details'!F78</f>
        <v>0</v>
      </c>
      <c r="G17" s="91">
        <f>'11.F&amp;V Crop Production details'!G78</f>
        <v>0</v>
      </c>
      <c r="H17" s="91">
        <f>'11.F&amp;V Crop Production details'!H78</f>
        <v>0</v>
      </c>
    </row>
    <row r="18" spans="1:8">
      <c r="A18" s="91">
        <f>'11.F&amp;V Crop Production details'!A79</f>
        <v>0</v>
      </c>
      <c r="B18" s="91">
        <f>'11.F&amp;V Crop Production details'!B79</f>
        <v>0</v>
      </c>
      <c r="C18" s="91">
        <f>'11.F&amp;V Crop Production details'!C79</f>
        <v>0</v>
      </c>
      <c r="D18" s="91">
        <f>'11.F&amp;V Crop Production details'!D79</f>
        <v>0</v>
      </c>
      <c r="E18" s="91">
        <f>'11.F&amp;V Crop Production details'!E79</f>
        <v>0</v>
      </c>
      <c r="F18" s="91">
        <f>'11.F&amp;V Crop Production details'!F79</f>
        <v>0</v>
      </c>
      <c r="G18" s="91">
        <f>'11.F&amp;V Crop Production details'!G79</f>
        <v>0</v>
      </c>
      <c r="H18" s="91">
        <f>'11.F&amp;V Crop Production details'!H79</f>
        <v>0</v>
      </c>
    </row>
    <row r="19" spans="1:8">
      <c r="A19" s="91">
        <f>'11.F&amp;V Crop Production details'!A80</f>
        <v>0</v>
      </c>
      <c r="B19" s="91">
        <f>'11.F&amp;V Crop Production details'!B80</f>
        <v>0</v>
      </c>
      <c r="C19" s="91">
        <f>'11.F&amp;V Crop Production details'!C80</f>
        <v>0</v>
      </c>
      <c r="D19" s="91">
        <f>'11.F&amp;V Crop Production details'!D80</f>
        <v>0</v>
      </c>
      <c r="E19" s="91">
        <f>'11.F&amp;V Crop Production details'!E80</f>
        <v>0</v>
      </c>
      <c r="F19" s="91">
        <f>'11.F&amp;V Crop Production details'!F80</f>
        <v>0</v>
      </c>
      <c r="G19" s="91">
        <f>'11.F&amp;V Crop Production details'!G80</f>
        <v>0</v>
      </c>
      <c r="H19" s="91">
        <f>'11.F&amp;V Crop Production details'!H80</f>
        <v>0</v>
      </c>
    </row>
    <row r="20" spans="1:8">
      <c r="A20" s="91">
        <f>'11.F&amp;V Crop Production details'!A81</f>
        <v>0</v>
      </c>
      <c r="B20" s="91">
        <f>'11.F&amp;V Crop Production details'!B81</f>
        <v>0</v>
      </c>
      <c r="C20" s="91">
        <f>'11.F&amp;V Crop Production details'!C81</f>
        <v>0</v>
      </c>
      <c r="D20" s="91">
        <f>'11.F&amp;V Crop Production details'!D81</f>
        <v>0</v>
      </c>
      <c r="E20" s="91">
        <f>'11.F&amp;V Crop Production details'!E81</f>
        <v>0</v>
      </c>
      <c r="F20" s="91">
        <f>'11.F&amp;V Crop Production details'!F81</f>
        <v>0</v>
      </c>
      <c r="G20" s="91">
        <f>'11.F&amp;V Crop Production details'!G81</f>
        <v>0</v>
      </c>
      <c r="H20" s="91">
        <f>'11.F&amp;V Crop Production details'!H81</f>
        <v>0</v>
      </c>
    </row>
    <row r="21" spans="1:8">
      <c r="A21" s="91">
        <f>'11.F&amp;V Crop Production details'!A82</f>
        <v>0</v>
      </c>
      <c r="B21" s="91">
        <f>'11.F&amp;V Crop Production details'!B82</f>
        <v>0</v>
      </c>
      <c r="C21" s="91">
        <f>'11.F&amp;V Crop Production details'!C82</f>
        <v>0</v>
      </c>
      <c r="D21" s="91">
        <f>'11.F&amp;V Crop Production details'!D82</f>
        <v>0</v>
      </c>
      <c r="E21" s="91">
        <f>'11.F&amp;V Crop Production details'!E82</f>
        <v>0</v>
      </c>
      <c r="F21" s="91">
        <f>'11.F&amp;V Crop Production details'!F82</f>
        <v>0</v>
      </c>
      <c r="G21" s="91">
        <f>'11.F&amp;V Crop Production details'!G82</f>
        <v>0</v>
      </c>
      <c r="H21" s="91">
        <f>'11.F&amp;V Crop Production details'!H82</f>
        <v>0</v>
      </c>
    </row>
    <row r="22" spans="1:8">
      <c r="A22" s="91" t="str">
        <f>'11.F&amp;V Crop Production details'!A83</f>
        <v>Onion</v>
      </c>
      <c r="B22" s="91">
        <f>'11.F&amp;V Crop Production details'!B83</f>
        <v>0</v>
      </c>
      <c r="C22" s="91">
        <f>'11.F&amp;V Crop Production details'!C83</f>
        <v>0</v>
      </c>
      <c r="D22" s="91">
        <f>'11.F&amp;V Crop Production details'!D83</f>
        <v>0</v>
      </c>
      <c r="E22" s="91">
        <f>'11.F&amp;V Crop Production details'!E83</f>
        <v>0</v>
      </c>
      <c r="F22" s="91">
        <f>'11.F&amp;V Crop Production details'!F83</f>
        <v>0</v>
      </c>
      <c r="G22" s="91">
        <f>'11.F&amp;V Crop Production details'!G83</f>
        <v>0</v>
      </c>
      <c r="H22" s="91">
        <f>'11.F&amp;V Crop Production details'!H83</f>
        <v>0</v>
      </c>
    </row>
    <row r="23" spans="1:8">
      <c r="A23" s="91" t="str">
        <f>'11.F&amp;V Crop Production details'!A84</f>
        <v>Tomato</v>
      </c>
      <c r="B23" s="91">
        <f>'11.F&amp;V Crop Production details'!B84</f>
        <v>0</v>
      </c>
      <c r="C23" s="91">
        <f>'11.F&amp;V Crop Production details'!C84</f>
        <v>0</v>
      </c>
      <c r="D23" s="91">
        <f>'11.F&amp;V Crop Production details'!D84</f>
        <v>0</v>
      </c>
      <c r="E23" s="91">
        <f>'11.F&amp;V Crop Production details'!E84</f>
        <v>0</v>
      </c>
      <c r="F23" s="91">
        <f>'11.F&amp;V Crop Production details'!F84</f>
        <v>0</v>
      </c>
      <c r="G23" s="91">
        <f>'11.F&amp;V Crop Production details'!G84</f>
        <v>0</v>
      </c>
      <c r="H23" s="91">
        <f>'11.F&amp;V Crop Production details'!H84</f>
        <v>0</v>
      </c>
    </row>
    <row r="24" spans="1:8">
      <c r="A24" s="91" t="str">
        <f>'11.F&amp;V Crop Production details'!A85</f>
        <v>Okra</v>
      </c>
      <c r="B24" s="91">
        <f>'11.F&amp;V Crop Production details'!B85</f>
        <v>0</v>
      </c>
      <c r="C24" s="91">
        <f>'11.F&amp;V Crop Production details'!C85</f>
        <v>0</v>
      </c>
      <c r="D24" s="91">
        <f>'11.F&amp;V Crop Production details'!D85</f>
        <v>0</v>
      </c>
      <c r="E24" s="91">
        <f>'11.F&amp;V Crop Production details'!E85</f>
        <v>0</v>
      </c>
      <c r="F24" s="91">
        <f>'11.F&amp;V Crop Production details'!F85</f>
        <v>0</v>
      </c>
      <c r="G24" s="91">
        <f>'11.F&amp;V Crop Production details'!G85</f>
        <v>0</v>
      </c>
      <c r="H24" s="91">
        <f>'11.F&amp;V Crop Production details'!H85</f>
        <v>0</v>
      </c>
    </row>
    <row r="25" spans="1:8">
      <c r="A25" s="91" t="str">
        <f>'11.F&amp;V Crop Production details'!A86</f>
        <v>Chilli</v>
      </c>
      <c r="B25" s="91">
        <f>'11.F&amp;V Crop Production details'!B86</f>
        <v>0</v>
      </c>
      <c r="C25" s="91">
        <f>'11.F&amp;V Crop Production details'!C86</f>
        <v>0</v>
      </c>
      <c r="D25" s="91">
        <f>'11.F&amp;V Crop Production details'!D86</f>
        <v>0</v>
      </c>
      <c r="E25" s="91">
        <f>'11.F&amp;V Crop Production details'!E86</f>
        <v>0</v>
      </c>
      <c r="F25" s="91">
        <f>'11.F&amp;V Crop Production details'!F86</f>
        <v>0</v>
      </c>
      <c r="G25" s="91">
        <f>'11.F&amp;V Crop Production details'!G86</f>
        <v>0</v>
      </c>
      <c r="H25" s="91">
        <f>'11.F&amp;V Crop Production details'!H86</f>
        <v>0</v>
      </c>
    </row>
    <row r="26" spans="1:8">
      <c r="A26" s="91" t="str">
        <f>'11.F&amp;V Crop Production details'!A87</f>
        <v>Brinjal</v>
      </c>
      <c r="B26" s="91">
        <f>'11.F&amp;V Crop Production details'!B87</f>
        <v>0</v>
      </c>
      <c r="C26" s="91">
        <f>'11.F&amp;V Crop Production details'!C87</f>
        <v>0</v>
      </c>
      <c r="D26" s="91">
        <f>'11.F&amp;V Crop Production details'!D87</f>
        <v>0</v>
      </c>
      <c r="E26" s="91">
        <f>'11.F&amp;V Crop Production details'!E87</f>
        <v>0</v>
      </c>
      <c r="F26" s="91">
        <f>'11.F&amp;V Crop Production details'!F87</f>
        <v>0</v>
      </c>
      <c r="G26" s="91">
        <f>'11.F&amp;V Crop Production details'!G87</f>
        <v>0</v>
      </c>
      <c r="H26" s="91">
        <f>'11.F&amp;V Crop Production details'!H87</f>
        <v>0</v>
      </c>
    </row>
    <row r="27" spans="1:8">
      <c r="A27" s="91">
        <f>'11.F&amp;V Crop Production details'!A88</f>
        <v>0</v>
      </c>
      <c r="B27" s="91">
        <f>'11.F&amp;V Crop Production details'!B88</f>
        <v>0</v>
      </c>
      <c r="C27" s="91">
        <f>'11.F&amp;V Crop Production details'!C88</f>
        <v>0</v>
      </c>
      <c r="D27" s="91">
        <f>'11.F&amp;V Crop Production details'!D88</f>
        <v>0</v>
      </c>
      <c r="E27" s="91">
        <f>'11.F&amp;V Crop Production details'!E88</f>
        <v>0</v>
      </c>
      <c r="F27" s="91">
        <f>'11.F&amp;V Crop Production details'!F88</f>
        <v>0</v>
      </c>
      <c r="G27" s="91">
        <f>'11.F&amp;V Crop Production details'!G88</f>
        <v>0</v>
      </c>
      <c r="H27" s="91">
        <f>'11.F&amp;V Crop Production details'!H88</f>
        <v>0</v>
      </c>
    </row>
    <row r="28" spans="1:8">
      <c r="A28" s="91">
        <f>'11.F&amp;V Crop Production details'!A89</f>
        <v>0</v>
      </c>
      <c r="B28" s="91">
        <f>'11.F&amp;V Crop Production details'!B89</f>
        <v>0</v>
      </c>
      <c r="C28" s="91">
        <f>'11.F&amp;V Crop Production details'!C89</f>
        <v>0</v>
      </c>
      <c r="D28" s="91">
        <f>'11.F&amp;V Crop Production details'!D89</f>
        <v>0</v>
      </c>
      <c r="E28" s="91">
        <f>'11.F&amp;V Crop Production details'!E89</f>
        <v>0</v>
      </c>
      <c r="F28" s="91">
        <f>'11.F&amp;V Crop Production details'!F89</f>
        <v>0</v>
      </c>
      <c r="G28" s="91">
        <f>'11.F&amp;V Crop Production details'!G89</f>
        <v>0</v>
      </c>
      <c r="H28" s="91">
        <f>'11.F&amp;V Crop Production details'!H89</f>
        <v>0</v>
      </c>
    </row>
    <row r="29" spans="1:8">
      <c r="A29" s="91">
        <f>'11.F&amp;V Crop Production details'!A90</f>
        <v>0</v>
      </c>
      <c r="B29" s="91">
        <f>'11.F&amp;V Crop Production details'!B90</f>
        <v>0</v>
      </c>
      <c r="C29" s="91">
        <f>'11.F&amp;V Crop Production details'!C90</f>
        <v>0</v>
      </c>
      <c r="D29" s="91">
        <f>'11.F&amp;V Crop Production details'!D90</f>
        <v>0</v>
      </c>
      <c r="E29" s="91">
        <f>'11.F&amp;V Crop Production details'!E90</f>
        <v>0</v>
      </c>
      <c r="F29" s="91">
        <f>'11.F&amp;V Crop Production details'!F90</f>
        <v>0</v>
      </c>
      <c r="G29" s="91">
        <f>'11.F&amp;V Crop Production details'!G90</f>
        <v>0</v>
      </c>
      <c r="H29" s="91">
        <f>'11.F&amp;V Crop Production details'!H90</f>
        <v>0</v>
      </c>
    </row>
    <row r="30" spans="1:8">
      <c r="A30" s="91">
        <f>'11.F&amp;V Crop Production details'!A91</f>
        <v>0</v>
      </c>
      <c r="B30" s="91">
        <f>'11.F&amp;V Crop Production details'!B91</f>
        <v>0</v>
      </c>
      <c r="C30" s="91">
        <f>'11.F&amp;V Crop Production details'!C91</f>
        <v>0</v>
      </c>
      <c r="D30" s="91">
        <f>'11.F&amp;V Crop Production details'!D91</f>
        <v>0</v>
      </c>
      <c r="E30" s="91">
        <f>'11.F&amp;V Crop Production details'!E91</f>
        <v>0</v>
      </c>
      <c r="F30" s="91">
        <f>'11.F&amp;V Crop Production details'!F91</f>
        <v>0</v>
      </c>
      <c r="G30" s="91">
        <f>'11.F&amp;V Crop Production details'!G91</f>
        <v>0</v>
      </c>
      <c r="H30" s="91">
        <f>'11.F&amp;V Crop Production details'!H91</f>
        <v>0</v>
      </c>
    </row>
    <row r="31" spans="1:8">
      <c r="A31" s="91">
        <f>'11.F&amp;V Crop Production details'!A92</f>
        <v>0</v>
      </c>
      <c r="B31" s="91">
        <f>'11.F&amp;V Crop Production details'!B92</f>
        <v>0</v>
      </c>
      <c r="C31" s="91">
        <f>'11.F&amp;V Crop Production details'!C92</f>
        <v>0</v>
      </c>
      <c r="D31" s="91">
        <f>'11.F&amp;V Crop Production details'!D92</f>
        <v>0</v>
      </c>
      <c r="E31" s="91">
        <f>'11.F&amp;V Crop Production details'!E92</f>
        <v>0</v>
      </c>
      <c r="F31" s="91">
        <f>'11.F&amp;V Crop Production details'!F92</f>
        <v>0</v>
      </c>
      <c r="G31" s="91">
        <f>'11.F&amp;V Crop Production details'!G92</f>
        <v>0</v>
      </c>
      <c r="H31" s="91">
        <f>'11.F&amp;V Crop Production details'!H92</f>
        <v>0</v>
      </c>
    </row>
    <row r="32" spans="1:8">
      <c r="A32" s="91">
        <f>'11.F&amp;V Crop Production details'!A93</f>
        <v>0</v>
      </c>
      <c r="B32" s="91">
        <f>'11.F&amp;V Crop Production details'!B93</f>
        <v>0</v>
      </c>
      <c r="C32" s="91">
        <f>'11.F&amp;V Crop Production details'!C93</f>
        <v>0</v>
      </c>
      <c r="D32" s="91">
        <f>'11.F&amp;V Crop Production details'!D93</f>
        <v>0</v>
      </c>
      <c r="E32" s="91">
        <f>'11.F&amp;V Crop Production details'!E93</f>
        <v>0</v>
      </c>
      <c r="F32" s="91">
        <f>'11.F&amp;V Crop Production details'!F93</f>
        <v>0</v>
      </c>
      <c r="G32" s="91">
        <f>'11.F&amp;V Crop Production details'!G93</f>
        <v>0</v>
      </c>
      <c r="H32" s="91">
        <f>'11.F&amp;V Crop Production details'!H93</f>
        <v>0</v>
      </c>
    </row>
    <row r="33" spans="1:8">
      <c r="A33" s="91">
        <f>'11.F&amp;V Crop Production details'!A94</f>
        <v>0</v>
      </c>
      <c r="B33" s="91">
        <f>'11.F&amp;V Crop Production details'!B94</f>
        <v>0</v>
      </c>
      <c r="C33" s="91">
        <f>'11.F&amp;V Crop Production details'!C94</f>
        <v>0</v>
      </c>
      <c r="D33" s="91">
        <f>'11.F&amp;V Crop Production details'!D94</f>
        <v>0</v>
      </c>
      <c r="E33" s="91">
        <f>'11.F&amp;V Crop Production details'!E94</f>
        <v>0</v>
      </c>
      <c r="F33" s="91">
        <f>'11.F&amp;V Crop Production details'!F94</f>
        <v>0</v>
      </c>
      <c r="G33" s="91">
        <f>'11.F&amp;V Crop Production details'!G94</f>
        <v>0</v>
      </c>
      <c r="H33" s="91">
        <f>'11.F&amp;V Crop Production details'!H94</f>
        <v>0</v>
      </c>
    </row>
    <row r="34" spans="1:8">
      <c r="A34" s="91" t="str">
        <f>'11.F&amp;V Crop Production details'!A95</f>
        <v>Pomegranate</v>
      </c>
      <c r="B34" s="91">
        <f>'11.F&amp;V Crop Production details'!B95</f>
        <v>0</v>
      </c>
      <c r="C34" s="91">
        <f>'11.F&amp;V Crop Production details'!C95</f>
        <v>0</v>
      </c>
      <c r="D34" s="91">
        <f>'11.F&amp;V Crop Production details'!D95</f>
        <v>0</v>
      </c>
      <c r="E34" s="91">
        <f>'11.F&amp;V Crop Production details'!E95</f>
        <v>0</v>
      </c>
      <c r="F34" s="91">
        <f>'11.F&amp;V Crop Production details'!F95</f>
        <v>0</v>
      </c>
      <c r="G34" s="91">
        <f>'11.F&amp;V Crop Production details'!G95</f>
        <v>0</v>
      </c>
      <c r="H34" s="91">
        <f>'11.F&amp;V Crop Production details'!H95</f>
        <v>0</v>
      </c>
    </row>
    <row r="35" spans="1:8">
      <c r="A35" s="91" t="str">
        <f>'11.F&amp;V Crop Production details'!A96</f>
        <v>Custard Apple</v>
      </c>
      <c r="B35" s="91">
        <f>'11.F&amp;V Crop Production details'!B96</f>
        <v>0</v>
      </c>
      <c r="C35" s="91">
        <f>'11.F&amp;V Crop Production details'!C96</f>
        <v>0</v>
      </c>
      <c r="D35" s="91">
        <f>'11.F&amp;V Crop Production details'!D96</f>
        <v>0</v>
      </c>
      <c r="E35" s="91">
        <f>'11.F&amp;V Crop Production details'!E96</f>
        <v>0</v>
      </c>
      <c r="F35" s="91">
        <f>'11.F&amp;V Crop Production details'!F96</f>
        <v>0</v>
      </c>
      <c r="G35" s="91">
        <f>'11.F&amp;V Crop Production details'!G96</f>
        <v>0</v>
      </c>
      <c r="H35" s="91">
        <f>'11.F&amp;V Crop Production details'!H96</f>
        <v>0</v>
      </c>
    </row>
    <row r="36" spans="1:8">
      <c r="A36" s="91" t="str">
        <f>'11.F&amp;V Crop Production details'!A97</f>
        <v>Guava</v>
      </c>
      <c r="B36" s="91">
        <f>'11.F&amp;V Crop Production details'!B97</f>
        <v>0</v>
      </c>
      <c r="C36" s="91">
        <f>'11.F&amp;V Crop Production details'!C97</f>
        <v>0</v>
      </c>
      <c r="D36" s="91">
        <f>'11.F&amp;V Crop Production details'!D97</f>
        <v>0</v>
      </c>
      <c r="E36" s="91">
        <f>'11.F&amp;V Crop Production details'!E97</f>
        <v>0</v>
      </c>
      <c r="F36" s="91">
        <f>'11.F&amp;V Crop Production details'!F97</f>
        <v>0</v>
      </c>
      <c r="G36" s="91">
        <f>'11.F&amp;V Crop Production details'!G97</f>
        <v>0</v>
      </c>
      <c r="H36" s="91">
        <f>'11.F&amp;V Crop Production details'!H97</f>
        <v>0</v>
      </c>
    </row>
    <row r="37" spans="1:8">
      <c r="A37" s="91" t="str">
        <f>'11.F&amp;V Crop Production details'!A98</f>
        <v>Citrus</v>
      </c>
      <c r="B37" s="91">
        <f>'11.F&amp;V Crop Production details'!B98</f>
        <v>0</v>
      </c>
      <c r="C37" s="91">
        <f>'11.F&amp;V Crop Production details'!C98</f>
        <v>0</v>
      </c>
      <c r="D37" s="91">
        <f>'11.F&amp;V Crop Production details'!D98</f>
        <v>0</v>
      </c>
      <c r="E37" s="91">
        <f>'11.F&amp;V Crop Production details'!E98</f>
        <v>0</v>
      </c>
      <c r="F37" s="91">
        <f>'11.F&amp;V Crop Production details'!F98</f>
        <v>0</v>
      </c>
      <c r="G37" s="91">
        <f>'11.F&amp;V Crop Production details'!G98</f>
        <v>0</v>
      </c>
      <c r="H37" s="91">
        <f>'11.F&amp;V Crop Production details'!H98</f>
        <v>0</v>
      </c>
    </row>
    <row r="38" spans="1:8">
      <c r="A38" s="91"/>
      <c r="B38" s="91"/>
      <c r="C38" s="91"/>
      <c r="D38" s="91"/>
      <c r="E38" s="91"/>
      <c r="F38" s="91"/>
      <c r="G38" s="91"/>
      <c r="H38" s="91"/>
    </row>
    <row r="39" spans="1:8">
      <c r="A39" s="91" t="s">
        <v>451</v>
      </c>
      <c r="B39" s="91">
        <f>SUM(B13:B37)</f>
        <v>0</v>
      </c>
      <c r="C39" s="91">
        <f t="shared" ref="C39:H39" si="1">SUM(C13:C37)</f>
        <v>0</v>
      </c>
      <c r="D39" s="91">
        <f t="shared" si="1"/>
        <v>0</v>
      </c>
      <c r="E39" s="91">
        <f t="shared" si="1"/>
        <v>0</v>
      </c>
      <c r="F39" s="91">
        <f t="shared" si="1"/>
        <v>0</v>
      </c>
      <c r="G39" s="91">
        <f t="shared" si="1"/>
        <v>0</v>
      </c>
      <c r="H39" s="91">
        <f t="shared" si="1"/>
        <v>0</v>
      </c>
    </row>
    <row r="40" spans="1:8">
      <c r="A40" s="310" t="s">
        <v>165</v>
      </c>
      <c r="B40" s="265">
        <v>0</v>
      </c>
      <c r="C40" s="265">
        <f>B40</f>
        <v>0</v>
      </c>
      <c r="D40" s="265">
        <f t="shared" ref="D40:H40" si="2">C40</f>
        <v>0</v>
      </c>
      <c r="E40" s="265">
        <f t="shared" si="2"/>
        <v>0</v>
      </c>
      <c r="F40" s="265">
        <f t="shared" si="2"/>
        <v>0</v>
      </c>
      <c r="G40" s="265">
        <f t="shared" si="2"/>
        <v>0</v>
      </c>
      <c r="H40" s="265">
        <f t="shared" si="2"/>
        <v>0</v>
      </c>
    </row>
    <row r="41" spans="1:8">
      <c r="A41" s="95" t="s">
        <v>461</v>
      </c>
      <c r="B41" s="311">
        <f>1-B40</f>
        <v>1</v>
      </c>
      <c r="C41" s="311">
        <f t="shared" ref="C41:H41" si="3">1-C40</f>
        <v>1</v>
      </c>
      <c r="D41" s="311">
        <f t="shared" si="3"/>
        <v>1</v>
      </c>
      <c r="E41" s="311">
        <f t="shared" si="3"/>
        <v>1</v>
      </c>
      <c r="F41" s="311">
        <f t="shared" si="3"/>
        <v>1</v>
      </c>
      <c r="G41" s="311">
        <f t="shared" si="3"/>
        <v>1</v>
      </c>
      <c r="H41" s="311">
        <f t="shared" si="3"/>
        <v>1</v>
      </c>
    </row>
    <row r="42" spans="1:8">
      <c r="A42" s="93" t="s">
        <v>165</v>
      </c>
      <c r="B42" s="248">
        <f>B39*B40</f>
        <v>0</v>
      </c>
      <c r="C42" s="248">
        <f t="shared" ref="C42:H42" si="4">C39*C40</f>
        <v>0</v>
      </c>
      <c r="D42" s="248">
        <f t="shared" si="4"/>
        <v>0</v>
      </c>
      <c r="E42" s="248">
        <f t="shared" si="4"/>
        <v>0</v>
      </c>
      <c r="F42" s="248">
        <f t="shared" si="4"/>
        <v>0</v>
      </c>
      <c r="G42" s="248">
        <f t="shared" si="4"/>
        <v>0</v>
      </c>
      <c r="H42" s="248">
        <f t="shared" si="4"/>
        <v>0</v>
      </c>
    </row>
    <row r="43" spans="1:8">
      <c r="A43" s="93" t="s">
        <v>166</v>
      </c>
      <c r="B43" s="111"/>
      <c r="C43" s="111"/>
      <c r="D43" s="111"/>
      <c r="E43" s="111"/>
      <c r="F43" s="111"/>
      <c r="G43" s="111"/>
      <c r="H43" s="111"/>
    </row>
    <row r="44" spans="1:8">
      <c r="A44" s="91" t="str">
        <f t="shared" ref="A44:A61" si="5">A13</f>
        <v>Onion</v>
      </c>
      <c r="B44" s="92">
        <f t="shared" ref="B44:B61" si="6">B13*$B$41</f>
        <v>0</v>
      </c>
      <c r="C44" s="92">
        <f t="shared" ref="C44:C61" si="7">C13*$C$41</f>
        <v>0</v>
      </c>
      <c r="D44" s="92">
        <f t="shared" ref="D44:D61" si="8">D13*$D$41</f>
        <v>0</v>
      </c>
      <c r="E44" s="92">
        <f t="shared" ref="E44:E61" si="9">E13*$E$41</f>
        <v>0</v>
      </c>
      <c r="F44" s="92">
        <f t="shared" ref="F44:F61" si="10">F13*$F$41</f>
        <v>0</v>
      </c>
      <c r="G44" s="92">
        <f t="shared" ref="G44:G61" si="11">G13*$G$41</f>
        <v>0</v>
      </c>
      <c r="H44" s="92">
        <f t="shared" ref="H44:H61" si="12">H13*$H$41</f>
        <v>0</v>
      </c>
    </row>
    <row r="45" spans="1:8">
      <c r="A45" s="91" t="str">
        <f t="shared" si="5"/>
        <v>Tomato</v>
      </c>
      <c r="B45" s="92">
        <f t="shared" si="6"/>
        <v>0</v>
      </c>
      <c r="C45" s="92">
        <f t="shared" si="7"/>
        <v>0</v>
      </c>
      <c r="D45" s="92">
        <f t="shared" si="8"/>
        <v>0</v>
      </c>
      <c r="E45" s="92">
        <f t="shared" si="9"/>
        <v>0</v>
      </c>
      <c r="F45" s="92">
        <f t="shared" si="10"/>
        <v>0</v>
      </c>
      <c r="G45" s="92">
        <f t="shared" si="11"/>
        <v>0</v>
      </c>
      <c r="H45" s="92">
        <f t="shared" si="12"/>
        <v>0</v>
      </c>
    </row>
    <row r="46" spans="1:8">
      <c r="A46" s="91" t="str">
        <f t="shared" si="5"/>
        <v>Okra</v>
      </c>
      <c r="B46" s="92">
        <f t="shared" si="6"/>
        <v>0</v>
      </c>
      <c r="C46" s="92">
        <f t="shared" si="7"/>
        <v>0</v>
      </c>
      <c r="D46" s="92">
        <f t="shared" si="8"/>
        <v>0</v>
      </c>
      <c r="E46" s="92">
        <f t="shared" si="9"/>
        <v>0</v>
      </c>
      <c r="F46" s="92">
        <f t="shared" si="10"/>
        <v>0</v>
      </c>
      <c r="G46" s="92">
        <f t="shared" si="11"/>
        <v>0</v>
      </c>
      <c r="H46" s="92">
        <f t="shared" si="12"/>
        <v>0</v>
      </c>
    </row>
    <row r="47" spans="1:8">
      <c r="A47" s="91" t="str">
        <f t="shared" si="5"/>
        <v>Chilli</v>
      </c>
      <c r="B47" s="92">
        <f t="shared" si="6"/>
        <v>0</v>
      </c>
      <c r="C47" s="92">
        <f t="shared" si="7"/>
        <v>0</v>
      </c>
      <c r="D47" s="92">
        <f t="shared" si="8"/>
        <v>0</v>
      </c>
      <c r="E47" s="92">
        <f t="shared" si="9"/>
        <v>0</v>
      </c>
      <c r="F47" s="92">
        <f t="shared" si="10"/>
        <v>0</v>
      </c>
      <c r="G47" s="92">
        <f t="shared" si="11"/>
        <v>0</v>
      </c>
      <c r="H47" s="92">
        <f t="shared" si="12"/>
        <v>0</v>
      </c>
    </row>
    <row r="48" spans="1:8">
      <c r="A48" s="91" t="str">
        <f t="shared" si="5"/>
        <v>Potato</v>
      </c>
      <c r="B48" s="92">
        <f t="shared" si="6"/>
        <v>0</v>
      </c>
      <c r="C48" s="92">
        <f t="shared" si="7"/>
        <v>0</v>
      </c>
      <c r="D48" s="92">
        <f t="shared" si="8"/>
        <v>0</v>
      </c>
      <c r="E48" s="92">
        <f t="shared" si="9"/>
        <v>0</v>
      </c>
      <c r="F48" s="92">
        <f t="shared" si="10"/>
        <v>0</v>
      </c>
      <c r="G48" s="92">
        <f t="shared" si="11"/>
        <v>0</v>
      </c>
      <c r="H48" s="92">
        <f t="shared" si="12"/>
        <v>0</v>
      </c>
    </row>
    <row r="49" spans="1:8">
      <c r="A49" s="91">
        <f t="shared" si="5"/>
        <v>0</v>
      </c>
      <c r="B49" s="92">
        <f t="shared" si="6"/>
        <v>0</v>
      </c>
      <c r="C49" s="92">
        <f t="shared" si="7"/>
        <v>0</v>
      </c>
      <c r="D49" s="92">
        <f t="shared" si="8"/>
        <v>0</v>
      </c>
      <c r="E49" s="92">
        <f t="shared" si="9"/>
        <v>0</v>
      </c>
      <c r="F49" s="92">
        <f t="shared" si="10"/>
        <v>0</v>
      </c>
      <c r="G49" s="92">
        <f t="shared" si="11"/>
        <v>0</v>
      </c>
      <c r="H49" s="92">
        <f t="shared" si="12"/>
        <v>0</v>
      </c>
    </row>
    <row r="50" spans="1:8">
      <c r="A50" s="91">
        <f t="shared" si="5"/>
        <v>0</v>
      </c>
      <c r="B50" s="92">
        <f t="shared" si="6"/>
        <v>0</v>
      </c>
      <c r="C50" s="92">
        <f t="shared" si="7"/>
        <v>0</v>
      </c>
      <c r="D50" s="92">
        <f t="shared" si="8"/>
        <v>0</v>
      </c>
      <c r="E50" s="92">
        <f t="shared" si="9"/>
        <v>0</v>
      </c>
      <c r="F50" s="92">
        <f t="shared" si="10"/>
        <v>0</v>
      </c>
      <c r="G50" s="92">
        <f t="shared" si="11"/>
        <v>0</v>
      </c>
      <c r="H50" s="92">
        <f t="shared" si="12"/>
        <v>0</v>
      </c>
    </row>
    <row r="51" spans="1:8">
      <c r="A51" s="91">
        <f t="shared" si="5"/>
        <v>0</v>
      </c>
      <c r="B51" s="92">
        <f t="shared" si="6"/>
        <v>0</v>
      </c>
      <c r="C51" s="92">
        <f t="shared" si="7"/>
        <v>0</v>
      </c>
      <c r="D51" s="92">
        <f t="shared" si="8"/>
        <v>0</v>
      </c>
      <c r="E51" s="92">
        <f t="shared" si="9"/>
        <v>0</v>
      </c>
      <c r="F51" s="92">
        <f t="shared" si="10"/>
        <v>0</v>
      </c>
      <c r="G51" s="92">
        <f t="shared" si="11"/>
        <v>0</v>
      </c>
      <c r="H51" s="92">
        <f t="shared" si="12"/>
        <v>0</v>
      </c>
    </row>
    <row r="52" spans="1:8">
      <c r="A52" s="91">
        <f t="shared" si="5"/>
        <v>0</v>
      </c>
      <c r="B52" s="92">
        <f t="shared" si="6"/>
        <v>0</v>
      </c>
      <c r="C52" s="92">
        <f t="shared" si="7"/>
        <v>0</v>
      </c>
      <c r="D52" s="92">
        <f t="shared" si="8"/>
        <v>0</v>
      </c>
      <c r="E52" s="92">
        <f t="shared" si="9"/>
        <v>0</v>
      </c>
      <c r="F52" s="92">
        <f t="shared" si="10"/>
        <v>0</v>
      </c>
      <c r="G52" s="92">
        <f t="shared" si="11"/>
        <v>0</v>
      </c>
      <c r="H52" s="92">
        <f t="shared" si="12"/>
        <v>0</v>
      </c>
    </row>
    <row r="53" spans="1:8">
      <c r="A53" s="91" t="str">
        <f t="shared" si="5"/>
        <v>Onion</v>
      </c>
      <c r="B53" s="92">
        <f t="shared" si="6"/>
        <v>0</v>
      </c>
      <c r="C53" s="92">
        <f t="shared" si="7"/>
        <v>0</v>
      </c>
      <c r="D53" s="92">
        <f t="shared" si="8"/>
        <v>0</v>
      </c>
      <c r="E53" s="92">
        <f t="shared" si="9"/>
        <v>0</v>
      </c>
      <c r="F53" s="92">
        <f t="shared" si="10"/>
        <v>0</v>
      </c>
      <c r="G53" s="92">
        <f t="shared" si="11"/>
        <v>0</v>
      </c>
      <c r="H53" s="92">
        <f t="shared" si="12"/>
        <v>0</v>
      </c>
    </row>
    <row r="54" spans="1:8">
      <c r="A54" s="91" t="str">
        <f t="shared" si="5"/>
        <v>Tomato</v>
      </c>
      <c r="B54" s="92">
        <f t="shared" si="6"/>
        <v>0</v>
      </c>
      <c r="C54" s="92">
        <f t="shared" si="7"/>
        <v>0</v>
      </c>
      <c r="D54" s="92">
        <f t="shared" si="8"/>
        <v>0</v>
      </c>
      <c r="E54" s="92">
        <f t="shared" si="9"/>
        <v>0</v>
      </c>
      <c r="F54" s="92">
        <f t="shared" si="10"/>
        <v>0</v>
      </c>
      <c r="G54" s="92">
        <f t="shared" si="11"/>
        <v>0</v>
      </c>
      <c r="H54" s="92">
        <f t="shared" si="12"/>
        <v>0</v>
      </c>
    </row>
    <row r="55" spans="1:8">
      <c r="A55" s="91" t="str">
        <f t="shared" si="5"/>
        <v>Okra</v>
      </c>
      <c r="B55" s="92">
        <f t="shared" si="6"/>
        <v>0</v>
      </c>
      <c r="C55" s="92">
        <f t="shared" si="7"/>
        <v>0</v>
      </c>
      <c r="D55" s="92">
        <f t="shared" si="8"/>
        <v>0</v>
      </c>
      <c r="E55" s="92">
        <f t="shared" si="9"/>
        <v>0</v>
      </c>
      <c r="F55" s="92">
        <f t="shared" si="10"/>
        <v>0</v>
      </c>
      <c r="G55" s="92">
        <f t="shared" si="11"/>
        <v>0</v>
      </c>
      <c r="H55" s="92">
        <f t="shared" si="12"/>
        <v>0</v>
      </c>
    </row>
    <row r="56" spans="1:8">
      <c r="A56" s="91" t="str">
        <f t="shared" si="5"/>
        <v>Chilli</v>
      </c>
      <c r="B56" s="92">
        <f t="shared" si="6"/>
        <v>0</v>
      </c>
      <c r="C56" s="92">
        <f t="shared" si="7"/>
        <v>0</v>
      </c>
      <c r="D56" s="92">
        <f t="shared" si="8"/>
        <v>0</v>
      </c>
      <c r="E56" s="92">
        <f t="shared" si="9"/>
        <v>0</v>
      </c>
      <c r="F56" s="92">
        <f t="shared" si="10"/>
        <v>0</v>
      </c>
      <c r="G56" s="92">
        <f t="shared" si="11"/>
        <v>0</v>
      </c>
      <c r="H56" s="92">
        <f t="shared" si="12"/>
        <v>0</v>
      </c>
    </row>
    <row r="57" spans="1:8">
      <c r="A57" s="91" t="str">
        <f t="shared" si="5"/>
        <v>Brinjal</v>
      </c>
      <c r="B57" s="92">
        <f t="shared" si="6"/>
        <v>0</v>
      </c>
      <c r="C57" s="92">
        <f t="shared" si="7"/>
        <v>0</v>
      </c>
      <c r="D57" s="92">
        <f t="shared" si="8"/>
        <v>0</v>
      </c>
      <c r="E57" s="92">
        <f t="shared" si="9"/>
        <v>0</v>
      </c>
      <c r="F57" s="92">
        <f t="shared" si="10"/>
        <v>0</v>
      </c>
      <c r="G57" s="92">
        <f t="shared" si="11"/>
        <v>0</v>
      </c>
      <c r="H57" s="92">
        <f t="shared" si="12"/>
        <v>0</v>
      </c>
    </row>
    <row r="58" spans="1:8">
      <c r="A58" s="91">
        <f t="shared" si="5"/>
        <v>0</v>
      </c>
      <c r="B58" s="92">
        <f t="shared" si="6"/>
        <v>0</v>
      </c>
      <c r="C58" s="92">
        <f t="shared" si="7"/>
        <v>0</v>
      </c>
      <c r="D58" s="92">
        <f t="shared" si="8"/>
        <v>0</v>
      </c>
      <c r="E58" s="92">
        <f t="shared" si="9"/>
        <v>0</v>
      </c>
      <c r="F58" s="92">
        <f t="shared" si="10"/>
        <v>0</v>
      </c>
      <c r="G58" s="92">
        <f t="shared" si="11"/>
        <v>0</v>
      </c>
      <c r="H58" s="92">
        <f t="shared" si="12"/>
        <v>0</v>
      </c>
    </row>
    <row r="59" spans="1:8">
      <c r="A59" s="91">
        <f t="shared" si="5"/>
        <v>0</v>
      </c>
      <c r="B59" s="92">
        <f t="shared" si="6"/>
        <v>0</v>
      </c>
      <c r="C59" s="92">
        <f t="shared" si="7"/>
        <v>0</v>
      </c>
      <c r="D59" s="92">
        <f t="shared" si="8"/>
        <v>0</v>
      </c>
      <c r="E59" s="92">
        <f t="shared" si="9"/>
        <v>0</v>
      </c>
      <c r="F59" s="92">
        <f t="shared" si="10"/>
        <v>0</v>
      </c>
      <c r="G59" s="92">
        <f t="shared" si="11"/>
        <v>0</v>
      </c>
      <c r="H59" s="92">
        <f t="shared" si="12"/>
        <v>0</v>
      </c>
    </row>
    <row r="60" spans="1:8">
      <c r="A60" s="91">
        <f t="shared" si="5"/>
        <v>0</v>
      </c>
      <c r="B60" s="92">
        <f t="shared" si="6"/>
        <v>0</v>
      </c>
      <c r="C60" s="92">
        <f t="shared" si="7"/>
        <v>0</v>
      </c>
      <c r="D60" s="92">
        <f t="shared" si="8"/>
        <v>0</v>
      </c>
      <c r="E60" s="92">
        <f t="shared" si="9"/>
        <v>0</v>
      </c>
      <c r="F60" s="92">
        <f t="shared" si="10"/>
        <v>0</v>
      </c>
      <c r="G60" s="92">
        <f t="shared" si="11"/>
        <v>0</v>
      </c>
      <c r="H60" s="92">
        <f t="shared" si="12"/>
        <v>0</v>
      </c>
    </row>
    <row r="61" spans="1:8">
      <c r="A61" s="91">
        <f t="shared" si="5"/>
        <v>0</v>
      </c>
      <c r="B61" s="92">
        <f t="shared" si="6"/>
        <v>0</v>
      </c>
      <c r="C61" s="92">
        <f t="shared" si="7"/>
        <v>0</v>
      </c>
      <c r="D61" s="92">
        <f t="shared" si="8"/>
        <v>0</v>
      </c>
      <c r="E61" s="92">
        <f t="shared" si="9"/>
        <v>0</v>
      </c>
      <c r="F61" s="92">
        <f t="shared" si="10"/>
        <v>0</v>
      </c>
      <c r="G61" s="92">
        <f t="shared" si="11"/>
        <v>0</v>
      </c>
      <c r="H61" s="92">
        <f t="shared" si="12"/>
        <v>0</v>
      </c>
    </row>
    <row r="62" spans="1:8">
      <c r="A62" s="91" t="str">
        <f t="shared" ref="A62" si="13">A34</f>
        <v>Pomegranate</v>
      </c>
      <c r="B62" s="92">
        <f>B34*$B$41</f>
        <v>0</v>
      </c>
      <c r="C62" s="92">
        <f t="shared" ref="C62:H62" si="14">C34*$B$41</f>
        <v>0</v>
      </c>
      <c r="D62" s="92">
        <f t="shared" si="14"/>
        <v>0</v>
      </c>
      <c r="E62" s="92">
        <f t="shared" si="14"/>
        <v>0</v>
      </c>
      <c r="F62" s="92">
        <f t="shared" si="14"/>
        <v>0</v>
      </c>
      <c r="G62" s="92">
        <f t="shared" si="14"/>
        <v>0</v>
      </c>
      <c r="H62" s="92">
        <f t="shared" si="14"/>
        <v>0</v>
      </c>
    </row>
    <row r="63" spans="1:8">
      <c r="A63" s="91" t="str">
        <f>A35</f>
        <v>Custard Apple</v>
      </c>
      <c r="B63" s="92">
        <f t="shared" ref="B63:H63" si="15">B35*$B$41</f>
        <v>0</v>
      </c>
      <c r="C63" s="92">
        <f t="shared" si="15"/>
        <v>0</v>
      </c>
      <c r="D63" s="92">
        <f t="shared" si="15"/>
        <v>0</v>
      </c>
      <c r="E63" s="92">
        <f t="shared" si="15"/>
        <v>0</v>
      </c>
      <c r="F63" s="92">
        <f t="shared" si="15"/>
        <v>0</v>
      </c>
      <c r="G63" s="92">
        <f t="shared" si="15"/>
        <v>0</v>
      </c>
      <c r="H63" s="92">
        <f t="shared" si="15"/>
        <v>0</v>
      </c>
    </row>
    <row r="64" spans="1:8">
      <c r="A64" s="91" t="str">
        <f>A36</f>
        <v>Guava</v>
      </c>
      <c r="B64" s="92">
        <f t="shared" ref="B64:H65" si="16">B36*$B$41</f>
        <v>0</v>
      </c>
      <c r="C64" s="92">
        <f t="shared" si="16"/>
        <v>0</v>
      </c>
      <c r="D64" s="92">
        <f t="shared" si="16"/>
        <v>0</v>
      </c>
      <c r="E64" s="92">
        <f t="shared" si="16"/>
        <v>0</v>
      </c>
      <c r="F64" s="92">
        <f t="shared" si="16"/>
        <v>0</v>
      </c>
      <c r="G64" s="92">
        <f t="shared" si="16"/>
        <v>0</v>
      </c>
      <c r="H64" s="92">
        <f t="shared" si="16"/>
        <v>0</v>
      </c>
    </row>
    <row r="65" spans="1:8">
      <c r="A65" s="91" t="str">
        <f>A37</f>
        <v>Citrus</v>
      </c>
      <c r="B65" s="92">
        <f t="shared" si="16"/>
        <v>0</v>
      </c>
      <c r="C65" s="92">
        <f t="shared" si="16"/>
        <v>0</v>
      </c>
      <c r="D65" s="92">
        <f t="shared" si="16"/>
        <v>0</v>
      </c>
      <c r="E65" s="92">
        <f t="shared" si="16"/>
        <v>0</v>
      </c>
      <c r="F65" s="92">
        <f t="shared" si="16"/>
        <v>0</v>
      </c>
      <c r="G65" s="92">
        <f t="shared" si="16"/>
        <v>0</v>
      </c>
      <c r="H65" s="92">
        <f t="shared" si="16"/>
        <v>0</v>
      </c>
    </row>
    <row r="66" spans="1:8">
      <c r="A66" s="93" t="s">
        <v>283</v>
      </c>
      <c r="B66" s="91"/>
      <c r="C66" s="91"/>
      <c r="D66" s="91"/>
      <c r="E66" s="91"/>
      <c r="F66" s="91"/>
      <c r="G66" s="91"/>
      <c r="H66" s="91"/>
    </row>
    <row r="67" spans="1:8">
      <c r="A67" s="91" t="str">
        <f>A44</f>
        <v>Onion</v>
      </c>
      <c r="B67" s="187"/>
      <c r="C67" s="187"/>
      <c r="D67" s="187"/>
      <c r="E67" s="187"/>
      <c r="F67" s="187"/>
      <c r="G67" s="187"/>
      <c r="H67" s="187"/>
    </row>
    <row r="68" spans="1:8">
      <c r="A68" s="91"/>
      <c r="B68" s="187"/>
      <c r="C68" s="187"/>
      <c r="D68" s="187"/>
      <c r="E68" s="187"/>
      <c r="F68" s="187"/>
      <c r="G68" s="187"/>
      <c r="H68" s="187"/>
    </row>
    <row r="69" spans="1:8">
      <c r="A69" s="91"/>
      <c r="B69" s="187"/>
      <c r="C69" s="187"/>
      <c r="D69" s="187"/>
      <c r="E69" s="187"/>
      <c r="F69" s="187"/>
      <c r="G69" s="187"/>
      <c r="H69" s="187"/>
    </row>
    <row r="70" spans="1:8">
      <c r="A70" s="91"/>
      <c r="B70" s="187"/>
      <c r="C70" s="187"/>
      <c r="D70" s="187"/>
      <c r="E70" s="187"/>
      <c r="F70" s="187"/>
      <c r="G70" s="187"/>
      <c r="H70" s="187"/>
    </row>
    <row r="71" spans="1:8">
      <c r="A71" s="91" t="str">
        <f>A45</f>
        <v>Tomato</v>
      </c>
      <c r="B71" s="92"/>
      <c r="C71" s="92"/>
      <c r="D71" s="92"/>
      <c r="E71" s="92"/>
      <c r="F71" s="92"/>
      <c r="G71" s="92"/>
      <c r="H71" s="92"/>
    </row>
    <row r="72" spans="1:8">
      <c r="A72" s="91"/>
      <c r="B72" s="92"/>
      <c r="C72" s="92"/>
      <c r="D72" s="92"/>
      <c r="E72" s="92"/>
      <c r="F72" s="92"/>
      <c r="G72" s="92"/>
      <c r="H72" s="92"/>
    </row>
    <row r="73" spans="1:8">
      <c r="A73" s="91"/>
      <c r="B73" s="92"/>
      <c r="C73" s="92"/>
      <c r="D73" s="92"/>
      <c r="E73" s="92"/>
      <c r="F73" s="92"/>
      <c r="G73" s="92"/>
      <c r="H73" s="92"/>
    </row>
    <row r="74" spans="1:8">
      <c r="A74" s="91"/>
      <c r="B74" s="92"/>
      <c r="C74" s="92"/>
      <c r="D74" s="92"/>
      <c r="E74" s="92"/>
      <c r="F74" s="92"/>
      <c r="G74" s="92"/>
      <c r="H74" s="92"/>
    </row>
    <row r="75" spans="1:8">
      <c r="A75" s="91" t="str">
        <f>A46</f>
        <v>Okra</v>
      </c>
      <c r="B75" s="92"/>
      <c r="C75" s="92"/>
      <c r="D75" s="92"/>
      <c r="E75" s="92"/>
      <c r="F75" s="92"/>
      <c r="G75" s="92"/>
      <c r="H75" s="92"/>
    </row>
    <row r="76" spans="1:8">
      <c r="A76" s="91"/>
      <c r="B76" s="92"/>
      <c r="C76" s="92"/>
      <c r="D76" s="92"/>
      <c r="E76" s="92"/>
      <c r="F76" s="92"/>
      <c r="G76" s="92"/>
      <c r="H76" s="92"/>
    </row>
    <row r="77" spans="1:8">
      <c r="A77" s="91"/>
      <c r="B77" s="92"/>
      <c r="C77" s="92"/>
      <c r="D77" s="92"/>
      <c r="E77" s="92"/>
      <c r="F77" s="92"/>
      <c r="G77" s="92"/>
      <c r="H77" s="92"/>
    </row>
    <row r="78" spans="1:8">
      <c r="A78" s="91"/>
      <c r="B78" s="92"/>
      <c r="C78" s="92"/>
      <c r="D78" s="92"/>
      <c r="E78" s="92"/>
      <c r="F78" s="92"/>
      <c r="G78" s="92"/>
      <c r="H78" s="92"/>
    </row>
    <row r="79" spans="1:8">
      <c r="A79" s="91" t="str">
        <f>A47</f>
        <v>Chilli</v>
      </c>
      <c r="B79" s="92"/>
      <c r="C79" s="92"/>
      <c r="D79" s="92"/>
      <c r="E79" s="92"/>
      <c r="F79" s="92"/>
      <c r="G79" s="92"/>
      <c r="H79" s="92"/>
    </row>
    <row r="80" spans="1:8">
      <c r="A80" s="91"/>
      <c r="B80" s="92"/>
      <c r="C80" s="92"/>
      <c r="D80" s="92"/>
      <c r="E80" s="92"/>
      <c r="F80" s="92"/>
      <c r="G80" s="92"/>
      <c r="H80" s="92"/>
    </row>
    <row r="81" spans="1:8">
      <c r="A81" s="91"/>
      <c r="B81" s="92"/>
      <c r="C81" s="92"/>
      <c r="D81" s="92"/>
      <c r="E81" s="92"/>
      <c r="F81" s="92"/>
      <c r="G81" s="92"/>
      <c r="H81" s="92"/>
    </row>
    <row r="82" spans="1:8">
      <c r="A82" s="91"/>
      <c r="B82" s="92"/>
      <c r="C82" s="92"/>
      <c r="D82" s="92"/>
      <c r="E82" s="92"/>
      <c r="F82" s="92"/>
      <c r="G82" s="92"/>
      <c r="H82" s="92"/>
    </row>
    <row r="83" spans="1:8">
      <c r="A83" s="91" t="str">
        <f>A48</f>
        <v>Potato</v>
      </c>
      <c r="B83" s="92"/>
      <c r="C83" s="92"/>
      <c r="D83" s="92"/>
      <c r="E83" s="92"/>
      <c r="F83" s="92"/>
      <c r="G83" s="92"/>
      <c r="H83" s="92"/>
    </row>
    <row r="84" spans="1:8">
      <c r="A84" s="91"/>
      <c r="B84" s="92"/>
      <c r="C84" s="92"/>
      <c r="D84" s="92"/>
      <c r="E84" s="92"/>
      <c r="F84" s="92"/>
      <c r="G84" s="92"/>
      <c r="H84" s="92"/>
    </row>
    <row r="85" spans="1:8">
      <c r="A85" s="91"/>
      <c r="B85" s="92"/>
      <c r="C85" s="92"/>
      <c r="D85" s="92"/>
      <c r="E85" s="92"/>
      <c r="F85" s="92"/>
      <c r="G85" s="92"/>
      <c r="H85" s="92"/>
    </row>
    <row r="86" spans="1:8">
      <c r="A86" s="91"/>
      <c r="B86" s="92"/>
      <c r="C86" s="92"/>
      <c r="D86" s="92"/>
      <c r="E86" s="92"/>
      <c r="F86" s="92"/>
      <c r="G86" s="92"/>
      <c r="H86" s="92"/>
    </row>
    <row r="87" spans="1:8">
      <c r="A87" s="91">
        <f>A49</f>
        <v>0</v>
      </c>
      <c r="B87" s="92"/>
      <c r="C87" s="92"/>
      <c r="D87" s="92"/>
      <c r="E87" s="92"/>
      <c r="F87" s="92"/>
      <c r="G87" s="92"/>
      <c r="H87" s="92"/>
    </row>
    <row r="88" spans="1:8">
      <c r="A88" s="91"/>
      <c r="B88" s="92"/>
      <c r="C88" s="92"/>
      <c r="D88" s="92"/>
      <c r="E88" s="92"/>
      <c r="F88" s="92"/>
      <c r="G88" s="92"/>
      <c r="H88" s="92"/>
    </row>
    <row r="89" spans="1:8">
      <c r="A89" s="91"/>
      <c r="B89" s="92"/>
      <c r="C89" s="92"/>
      <c r="D89" s="92"/>
      <c r="E89" s="92"/>
      <c r="F89" s="92"/>
      <c r="G89" s="92"/>
      <c r="H89" s="92"/>
    </row>
    <row r="90" spans="1:8">
      <c r="A90" s="91"/>
      <c r="B90" s="92"/>
      <c r="C90" s="92"/>
      <c r="D90" s="92"/>
      <c r="E90" s="92"/>
      <c r="F90" s="92"/>
      <c r="G90" s="92"/>
      <c r="H90" s="92"/>
    </row>
    <row r="91" spans="1:8">
      <c r="A91" s="91">
        <f>A50</f>
        <v>0</v>
      </c>
      <c r="B91" s="92"/>
      <c r="C91" s="92"/>
      <c r="D91" s="92"/>
      <c r="E91" s="92"/>
      <c r="F91" s="92"/>
      <c r="G91" s="92"/>
      <c r="H91" s="92"/>
    </row>
    <row r="92" spans="1:8">
      <c r="A92" s="91"/>
      <c r="B92" s="92"/>
      <c r="C92" s="92"/>
      <c r="D92" s="92"/>
      <c r="E92" s="92"/>
      <c r="F92" s="92"/>
      <c r="G92" s="92"/>
      <c r="H92" s="92"/>
    </row>
    <row r="93" spans="1:8">
      <c r="A93" s="91"/>
      <c r="B93" s="92"/>
      <c r="C93" s="92"/>
      <c r="D93" s="92"/>
      <c r="E93" s="92"/>
      <c r="F93" s="92"/>
      <c r="G93" s="92"/>
      <c r="H93" s="92"/>
    </row>
    <row r="94" spans="1:8">
      <c r="A94" s="91">
        <f>A51</f>
        <v>0</v>
      </c>
      <c r="B94" s="92"/>
      <c r="C94" s="92"/>
      <c r="D94" s="92"/>
      <c r="E94" s="92"/>
      <c r="F94" s="92"/>
      <c r="G94" s="92"/>
      <c r="H94" s="92"/>
    </row>
    <row r="95" spans="1:8">
      <c r="A95" s="91"/>
      <c r="B95" s="92"/>
      <c r="C95" s="92"/>
      <c r="D95" s="92"/>
      <c r="E95" s="92"/>
      <c r="F95" s="92"/>
      <c r="G95" s="92"/>
      <c r="H95" s="92"/>
    </row>
    <row r="96" spans="1:8">
      <c r="A96" s="91"/>
      <c r="B96" s="92"/>
      <c r="C96" s="92"/>
      <c r="D96" s="92"/>
      <c r="E96" s="92"/>
      <c r="F96" s="92"/>
      <c r="G96" s="92"/>
      <c r="H96" s="92"/>
    </row>
    <row r="97" spans="1:8">
      <c r="A97" s="91"/>
      <c r="B97" s="92"/>
      <c r="C97" s="92"/>
      <c r="D97" s="92"/>
      <c r="E97" s="92"/>
      <c r="F97" s="92"/>
      <c r="G97" s="92"/>
      <c r="H97" s="92"/>
    </row>
    <row r="98" spans="1:8">
      <c r="A98" s="91">
        <f>A52</f>
        <v>0</v>
      </c>
      <c r="B98" s="92"/>
      <c r="C98" s="92"/>
      <c r="D98" s="92"/>
      <c r="E98" s="92"/>
      <c r="F98" s="92"/>
      <c r="G98" s="92"/>
      <c r="H98" s="92"/>
    </row>
    <row r="99" spans="1:8">
      <c r="A99" s="91"/>
      <c r="B99" s="92"/>
      <c r="C99" s="92"/>
      <c r="D99" s="92"/>
      <c r="E99" s="92"/>
      <c r="F99" s="92"/>
      <c r="G99" s="92"/>
      <c r="H99" s="92"/>
    </row>
    <row r="100" spans="1:8">
      <c r="A100" s="91"/>
      <c r="B100" s="92"/>
      <c r="C100" s="92"/>
      <c r="D100" s="92"/>
      <c r="E100" s="92"/>
      <c r="F100" s="92"/>
      <c r="G100" s="92"/>
      <c r="H100" s="92"/>
    </row>
    <row r="101" spans="1:8">
      <c r="A101" s="91"/>
      <c r="B101" s="92"/>
      <c r="C101" s="92"/>
      <c r="D101" s="92"/>
      <c r="E101" s="92"/>
      <c r="F101" s="92"/>
      <c r="G101" s="92"/>
      <c r="H101" s="92"/>
    </row>
    <row r="102" spans="1:8">
      <c r="A102" s="91" t="str">
        <f>A53</f>
        <v>Onion</v>
      </c>
      <c r="B102" s="92"/>
      <c r="C102" s="92"/>
      <c r="D102" s="92"/>
      <c r="E102" s="92"/>
      <c r="F102" s="92"/>
      <c r="G102" s="92"/>
      <c r="H102" s="92"/>
    </row>
    <row r="103" spans="1:8">
      <c r="A103" s="91"/>
      <c r="B103" s="92"/>
      <c r="C103" s="92"/>
      <c r="D103" s="92"/>
      <c r="E103" s="92"/>
      <c r="F103" s="92"/>
      <c r="G103" s="92"/>
      <c r="H103" s="92"/>
    </row>
    <row r="104" spans="1:8">
      <c r="A104" s="91"/>
      <c r="B104" s="92"/>
      <c r="C104" s="92"/>
      <c r="D104" s="92"/>
      <c r="E104" s="92"/>
      <c r="F104" s="92"/>
      <c r="G104" s="92"/>
      <c r="H104" s="92"/>
    </row>
    <row r="105" spans="1:8">
      <c r="A105" s="91"/>
      <c r="B105" s="92"/>
      <c r="C105" s="92"/>
      <c r="D105" s="92"/>
      <c r="E105" s="92"/>
      <c r="F105" s="92"/>
      <c r="G105" s="92"/>
      <c r="H105" s="92"/>
    </row>
    <row r="106" spans="1:8">
      <c r="A106" s="91" t="str">
        <f>A54</f>
        <v>Tomato</v>
      </c>
      <c r="B106" s="92"/>
      <c r="C106" s="92"/>
      <c r="D106" s="92"/>
      <c r="E106" s="92"/>
      <c r="F106" s="92"/>
      <c r="G106" s="92"/>
      <c r="H106" s="92"/>
    </row>
    <row r="107" spans="1:8">
      <c r="A107" s="91"/>
      <c r="B107" s="92"/>
      <c r="C107" s="92"/>
      <c r="D107" s="92"/>
      <c r="E107" s="92"/>
      <c r="F107" s="92"/>
      <c r="G107" s="92"/>
      <c r="H107" s="92"/>
    </row>
    <row r="108" spans="1:8">
      <c r="A108" s="91"/>
      <c r="B108" s="92"/>
      <c r="C108" s="92"/>
      <c r="D108" s="92"/>
      <c r="E108" s="92"/>
      <c r="F108" s="92"/>
      <c r="G108" s="92"/>
      <c r="H108" s="92"/>
    </row>
    <row r="109" spans="1:8">
      <c r="A109" s="91"/>
      <c r="B109" s="92"/>
      <c r="C109" s="92"/>
      <c r="D109" s="92"/>
      <c r="E109" s="92"/>
      <c r="F109" s="92"/>
      <c r="G109" s="92"/>
      <c r="H109" s="92"/>
    </row>
    <row r="110" spans="1:8">
      <c r="A110" s="91" t="str">
        <f>A55</f>
        <v>Okra</v>
      </c>
      <c r="B110" s="92"/>
      <c r="C110" s="92"/>
      <c r="D110" s="92"/>
      <c r="E110" s="92"/>
      <c r="F110" s="92"/>
      <c r="G110" s="92"/>
      <c r="H110" s="92"/>
    </row>
    <row r="111" spans="1:8">
      <c r="A111" s="91"/>
      <c r="B111" s="92"/>
      <c r="C111" s="92"/>
      <c r="D111" s="92"/>
      <c r="E111" s="92"/>
      <c r="F111" s="92"/>
      <c r="G111" s="92"/>
      <c r="H111" s="92"/>
    </row>
    <row r="112" spans="1:8">
      <c r="A112" s="91"/>
      <c r="B112" s="92"/>
      <c r="C112" s="92"/>
      <c r="D112" s="92"/>
      <c r="E112" s="92"/>
      <c r="F112" s="92"/>
      <c r="G112" s="92"/>
      <c r="H112" s="92"/>
    </row>
    <row r="113" spans="1:8">
      <c r="A113" s="91"/>
      <c r="B113" s="92"/>
      <c r="C113" s="92"/>
      <c r="D113" s="92"/>
      <c r="E113" s="92"/>
      <c r="F113" s="92"/>
      <c r="G113" s="92"/>
      <c r="H113" s="92"/>
    </row>
    <row r="114" spans="1:8">
      <c r="A114" s="91" t="str">
        <f>A56</f>
        <v>Chilli</v>
      </c>
      <c r="B114" s="92"/>
      <c r="C114" s="92"/>
      <c r="D114" s="92"/>
      <c r="E114" s="92"/>
      <c r="F114" s="92"/>
      <c r="G114" s="92"/>
      <c r="H114" s="92"/>
    </row>
    <row r="115" spans="1:8">
      <c r="A115" s="91"/>
      <c r="B115" s="92"/>
      <c r="C115" s="92"/>
      <c r="D115" s="92"/>
      <c r="E115" s="92"/>
      <c r="F115" s="92"/>
      <c r="G115" s="92"/>
      <c r="H115" s="92"/>
    </row>
    <row r="116" spans="1:8">
      <c r="A116" s="91"/>
      <c r="B116" s="92"/>
      <c r="C116" s="92"/>
      <c r="D116" s="92"/>
      <c r="E116" s="92"/>
      <c r="F116" s="92"/>
      <c r="G116" s="92"/>
      <c r="H116" s="92"/>
    </row>
    <row r="117" spans="1:8">
      <c r="A117" s="91"/>
      <c r="B117" s="92"/>
      <c r="C117" s="92"/>
      <c r="D117" s="92"/>
      <c r="E117" s="92"/>
      <c r="F117" s="92"/>
      <c r="G117" s="92"/>
      <c r="H117" s="92"/>
    </row>
    <row r="118" spans="1:8">
      <c r="A118" s="93" t="str">
        <f t="shared" ref="A118:A123" si="17">A57</f>
        <v>Brinjal</v>
      </c>
      <c r="B118" s="92"/>
      <c r="C118" s="92"/>
      <c r="D118" s="92"/>
      <c r="E118" s="92"/>
      <c r="F118" s="92"/>
      <c r="G118" s="92"/>
      <c r="H118" s="92"/>
    </row>
    <row r="119" spans="1:8">
      <c r="A119" s="91">
        <f t="shared" si="17"/>
        <v>0</v>
      </c>
      <c r="B119" s="92"/>
      <c r="C119" s="92"/>
      <c r="D119" s="92"/>
      <c r="E119" s="92"/>
      <c r="F119" s="92"/>
      <c r="G119" s="92"/>
      <c r="H119" s="92"/>
    </row>
    <row r="120" spans="1:8">
      <c r="A120" s="91">
        <f t="shared" si="17"/>
        <v>0</v>
      </c>
      <c r="B120" s="92"/>
      <c r="C120" s="92"/>
      <c r="D120" s="92"/>
      <c r="E120" s="92"/>
      <c r="F120" s="92"/>
      <c r="G120" s="92"/>
      <c r="H120" s="92"/>
    </row>
    <row r="121" spans="1:8">
      <c r="A121" s="91">
        <f t="shared" si="17"/>
        <v>0</v>
      </c>
      <c r="B121" s="92"/>
      <c r="C121" s="92"/>
      <c r="D121" s="92"/>
      <c r="E121" s="92"/>
      <c r="F121" s="92"/>
      <c r="G121" s="92"/>
      <c r="H121" s="92"/>
    </row>
    <row r="122" spans="1:8">
      <c r="A122" s="91">
        <f t="shared" si="17"/>
        <v>0</v>
      </c>
      <c r="B122" s="92"/>
      <c r="C122" s="92"/>
      <c r="D122" s="92"/>
      <c r="E122" s="92"/>
      <c r="F122" s="92"/>
      <c r="G122" s="92"/>
      <c r="H122" s="92"/>
    </row>
    <row r="123" spans="1:8">
      <c r="A123" s="93" t="str">
        <f t="shared" si="17"/>
        <v>Pomegranate</v>
      </c>
      <c r="B123" s="92"/>
      <c r="C123" s="92"/>
      <c r="D123" s="92"/>
      <c r="E123" s="92"/>
      <c r="F123" s="92"/>
      <c r="G123" s="92"/>
      <c r="H123" s="92"/>
    </row>
    <row r="124" spans="1:8">
      <c r="A124" s="91" t="s">
        <v>517</v>
      </c>
      <c r="B124" s="92">
        <f>(B$62*50%)*0.7</f>
        <v>0</v>
      </c>
      <c r="C124" s="92">
        <f>(C$62*50%)*0.7</f>
        <v>0</v>
      </c>
      <c r="D124" s="92">
        <f t="shared" ref="D124:H126" si="18">(D$62*50%)*0.7</f>
        <v>0</v>
      </c>
      <c r="E124" s="92">
        <f t="shared" si="18"/>
        <v>0</v>
      </c>
      <c r="F124" s="92">
        <f t="shared" si="18"/>
        <v>0</v>
      </c>
      <c r="G124" s="92">
        <f t="shared" si="18"/>
        <v>0</v>
      </c>
      <c r="H124" s="92">
        <f t="shared" si="18"/>
        <v>0</v>
      </c>
    </row>
    <row r="125" spans="1:8">
      <c r="A125" s="91" t="s">
        <v>515</v>
      </c>
      <c r="B125" s="92">
        <f>(B$62*50%)*0.7*2</f>
        <v>0</v>
      </c>
      <c r="C125" s="92">
        <f>(C$62*50%)*0.7</f>
        <v>0</v>
      </c>
      <c r="D125" s="92">
        <f t="shared" si="18"/>
        <v>0</v>
      </c>
      <c r="E125" s="92">
        <f t="shared" si="18"/>
        <v>0</v>
      </c>
      <c r="F125" s="92">
        <f t="shared" si="18"/>
        <v>0</v>
      </c>
      <c r="G125" s="92">
        <f t="shared" si="18"/>
        <v>0</v>
      </c>
      <c r="H125" s="92">
        <f t="shared" si="18"/>
        <v>0</v>
      </c>
    </row>
    <row r="126" spans="1:8">
      <c r="A126" s="91" t="s">
        <v>516</v>
      </c>
      <c r="B126" s="92">
        <f>(B$62*0.3)*0.2</f>
        <v>0</v>
      </c>
      <c r="C126" s="92">
        <f>(C$62*50%)*0.7</f>
        <v>0</v>
      </c>
      <c r="D126" s="92">
        <f t="shared" si="18"/>
        <v>0</v>
      </c>
      <c r="E126" s="92">
        <f t="shared" si="18"/>
        <v>0</v>
      </c>
      <c r="F126" s="92">
        <f t="shared" si="18"/>
        <v>0</v>
      </c>
      <c r="G126" s="92">
        <f t="shared" si="18"/>
        <v>0</v>
      </c>
      <c r="H126" s="92">
        <f t="shared" si="18"/>
        <v>0</v>
      </c>
    </row>
    <row r="127" spans="1:8">
      <c r="A127" s="91" t="str">
        <f t="shared" ref="A127" si="19">A63</f>
        <v>Custard Apple</v>
      </c>
      <c r="B127" s="92"/>
      <c r="C127" s="92"/>
      <c r="D127" s="92"/>
      <c r="E127" s="92"/>
      <c r="F127" s="92"/>
      <c r="G127" s="92"/>
      <c r="H127" s="92"/>
    </row>
    <row r="128" spans="1:8">
      <c r="A128" s="91"/>
      <c r="B128" s="92"/>
      <c r="C128" s="92"/>
      <c r="D128" s="92"/>
      <c r="E128" s="92"/>
      <c r="F128" s="92"/>
      <c r="G128" s="92"/>
      <c r="H128" s="92"/>
    </row>
    <row r="129" spans="1:8">
      <c r="A129" s="91"/>
      <c r="B129" s="92"/>
      <c r="C129" s="92"/>
      <c r="D129" s="92"/>
      <c r="E129" s="92"/>
      <c r="F129" s="92"/>
      <c r="G129" s="92"/>
      <c r="H129" s="92"/>
    </row>
    <row r="130" spans="1:8">
      <c r="A130" s="91"/>
      <c r="B130" s="92"/>
      <c r="C130" s="92"/>
      <c r="D130" s="92"/>
      <c r="E130" s="92"/>
      <c r="F130" s="92"/>
      <c r="G130" s="92"/>
      <c r="H130" s="92"/>
    </row>
    <row r="131" spans="1:8">
      <c r="A131" s="91" t="str">
        <f>A64</f>
        <v>Guava</v>
      </c>
      <c r="B131" s="92"/>
      <c r="C131" s="92"/>
      <c r="D131" s="92"/>
      <c r="E131" s="92"/>
      <c r="F131" s="92"/>
      <c r="G131" s="92"/>
      <c r="H131" s="92"/>
    </row>
    <row r="132" spans="1:8">
      <c r="A132" s="91"/>
      <c r="B132" s="92"/>
      <c r="C132" s="92"/>
      <c r="D132" s="92"/>
      <c r="E132" s="92"/>
      <c r="F132" s="92"/>
      <c r="G132" s="92"/>
      <c r="H132" s="92"/>
    </row>
    <row r="133" spans="1:8">
      <c r="A133" s="91"/>
      <c r="B133" s="92"/>
      <c r="C133" s="92"/>
      <c r="D133" s="92"/>
      <c r="E133" s="92"/>
      <c r="F133" s="92"/>
      <c r="G133" s="92"/>
      <c r="H133" s="92"/>
    </row>
    <row r="134" spans="1:8">
      <c r="A134" s="91"/>
      <c r="B134" s="92"/>
      <c r="C134" s="92"/>
      <c r="D134" s="92"/>
      <c r="E134" s="92"/>
      <c r="F134" s="92"/>
      <c r="G134" s="92"/>
      <c r="H134" s="92"/>
    </row>
    <row r="135" spans="1:8">
      <c r="A135" s="91" t="str">
        <f>A65</f>
        <v>Citrus</v>
      </c>
      <c r="B135" s="92"/>
      <c r="C135" s="92"/>
      <c r="D135" s="92"/>
      <c r="E135" s="92"/>
      <c r="F135" s="92"/>
      <c r="G135" s="92"/>
      <c r="H135" s="92"/>
    </row>
    <row r="136" spans="1:8">
      <c r="A136" s="91"/>
      <c r="B136" s="92"/>
      <c r="C136" s="92"/>
      <c r="D136" s="92"/>
      <c r="E136" s="92"/>
      <c r="F136" s="92"/>
      <c r="G136" s="92"/>
      <c r="H136" s="92"/>
    </row>
    <row r="137" spans="1:8">
      <c r="A137" s="91"/>
      <c r="B137" s="92"/>
      <c r="C137" s="92"/>
      <c r="D137" s="92"/>
      <c r="E137" s="92"/>
      <c r="F137" s="92"/>
      <c r="G137" s="92"/>
      <c r="H137" s="92"/>
    </row>
    <row r="138" spans="1:8">
      <c r="A138" s="91"/>
      <c r="B138" s="92"/>
      <c r="C138" s="92"/>
      <c r="D138" s="92"/>
      <c r="E138" s="92"/>
      <c r="F138" s="92"/>
      <c r="G138" s="92"/>
      <c r="H138" s="92"/>
    </row>
    <row r="139" spans="1:8">
      <c r="A139" s="182"/>
      <c r="B139" s="293"/>
      <c r="C139" s="293"/>
      <c r="D139" s="293"/>
      <c r="E139" s="293"/>
      <c r="F139" s="293"/>
      <c r="G139" s="293"/>
      <c r="H139" s="293"/>
    </row>
    <row r="140" spans="1:8">
      <c r="A140" s="183" t="s">
        <v>439</v>
      </c>
    </row>
    <row r="141" spans="1:8">
      <c r="A141" t="s">
        <v>520</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521</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522</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7.5">
      <c r="A147" s="473" t="s">
        <v>592</v>
      </c>
      <c r="B147" s="473"/>
      <c r="C147" s="473"/>
      <c r="D147" s="473"/>
      <c r="E147" s="473"/>
      <c r="F147" s="473"/>
      <c r="G147" s="473"/>
      <c r="H147" s="473"/>
      <c r="I147" s="473"/>
      <c r="J147" s="473"/>
    </row>
    <row r="148" spans="1:10">
      <c r="A148" s="305"/>
      <c r="B148" s="305"/>
      <c r="C148" s="305"/>
      <c r="D148" s="305"/>
      <c r="E148" s="305"/>
      <c r="F148" s="305"/>
      <c r="G148" s="305"/>
      <c r="H148" s="305"/>
    </row>
    <row r="149" spans="1:10">
      <c r="A149" s="308"/>
      <c r="B149" s="308"/>
      <c r="C149" s="308"/>
      <c r="D149" s="189">
        <v>1</v>
      </c>
      <c r="E149" s="190">
        <f>(D149*5%)+D149</f>
        <v>1.05</v>
      </c>
      <c r="F149" s="190">
        <f t="shared" ref="F149:J149" si="24">(E149*5%)+E149</f>
        <v>1.1025</v>
      </c>
      <c r="G149" s="190">
        <f t="shared" si="24"/>
        <v>1.1576250000000001</v>
      </c>
      <c r="H149" s="190">
        <f t="shared" si="24"/>
        <v>1.2155062500000002</v>
      </c>
      <c r="I149" s="190">
        <f t="shared" si="24"/>
        <v>1.2762815625000004</v>
      </c>
      <c r="J149" s="190">
        <f t="shared" si="24"/>
        <v>1.3400956406250004</v>
      </c>
    </row>
    <row r="150" spans="1:10">
      <c r="A150" s="90"/>
      <c r="B150" s="90"/>
      <c r="C150" s="90"/>
      <c r="D150" s="90"/>
      <c r="E150" s="90"/>
      <c r="F150" s="90"/>
      <c r="G150" s="90"/>
      <c r="H150" s="90"/>
      <c r="I150" s="90"/>
      <c r="J150" s="90"/>
    </row>
    <row r="151" spans="1:10">
      <c r="A151" s="144" t="s">
        <v>0</v>
      </c>
      <c r="B151" s="144" t="s">
        <v>133</v>
      </c>
      <c r="C151" s="144" t="s">
        <v>153</v>
      </c>
      <c r="D151" s="116" t="s">
        <v>2</v>
      </c>
      <c r="E151" s="116" t="s">
        <v>3</v>
      </c>
      <c r="F151" s="116" t="s">
        <v>4</v>
      </c>
      <c r="G151" s="116" t="s">
        <v>5</v>
      </c>
      <c r="H151" s="116" t="s">
        <v>6</v>
      </c>
      <c r="I151" s="116" t="s">
        <v>169</v>
      </c>
      <c r="J151" s="116" t="s">
        <v>168</v>
      </c>
    </row>
    <row r="152" spans="1:10">
      <c r="A152" s="91"/>
      <c r="B152" s="91"/>
      <c r="C152" s="91"/>
      <c r="D152" s="91"/>
      <c r="E152" s="91"/>
      <c r="F152" s="91"/>
      <c r="G152" s="91"/>
      <c r="H152" s="91"/>
      <c r="I152" s="91"/>
      <c r="J152" s="91"/>
    </row>
    <row r="153" spans="1:10">
      <c r="A153" s="93" t="s">
        <v>127</v>
      </c>
      <c r="B153" s="93"/>
      <c r="C153" s="93"/>
      <c r="D153" s="110"/>
      <c r="E153" s="110"/>
      <c r="F153" s="110"/>
      <c r="G153" s="110"/>
      <c r="H153" s="110"/>
      <c r="I153" s="91"/>
      <c r="J153" s="91"/>
    </row>
    <row r="154" spans="1:10">
      <c r="A154" s="91" t="str">
        <f>A124</f>
        <v>Pomegranate Arils</v>
      </c>
      <c r="B154" s="224" t="s">
        <v>519</v>
      </c>
      <c r="C154" s="224">
        <v>200</v>
      </c>
      <c r="D154" s="92">
        <f>(B141*(1-'5.Closing Stock &amp; W Capital'!$D$18)*$C154*D$149)</f>
        <v>0</v>
      </c>
      <c r="E154" s="92">
        <f>(((C141*(1-'5.Closing Stock &amp; W Capital'!$D$18))+(B141*'5.Closing Stock &amp; W Capital'!$D$18))*$C154*E$149)</f>
        <v>0</v>
      </c>
      <c r="F154" s="92">
        <f>(((D141*(1-'5.Closing Stock &amp; W Capital'!$D$18))+(C141*'5.Closing Stock &amp; W Capital'!$D$18))*$C154*F$149)</f>
        <v>0</v>
      </c>
      <c r="G154" s="92">
        <f>(((E141*(1-'5.Closing Stock &amp; W Capital'!$D$18))+(D141*'5.Closing Stock &amp; W Capital'!$D$18))*$C154*G$149)</f>
        <v>0</v>
      </c>
      <c r="H154" s="92">
        <f>(((F141*(1-'5.Closing Stock &amp; W Capital'!$D$18))+(E141*'5.Closing Stock &amp; W Capital'!$D$18))*$C154*H$149)</f>
        <v>0</v>
      </c>
      <c r="I154" s="92">
        <f>(((G141*(1-'5.Closing Stock &amp; W Capital'!$D$18))+(F141*'5.Closing Stock &amp; W Capital'!$D$18))*$C154*I$149)</f>
        <v>0</v>
      </c>
      <c r="J154" s="92">
        <f>(((H141*(1-'5.Closing Stock &amp; W Capital'!$D$18))+(G141*'5.Closing Stock &amp; W Capital'!$D$18))*$C154*J$149)</f>
        <v>0</v>
      </c>
    </row>
    <row r="155" spans="1:10">
      <c r="A155" s="91" t="str">
        <f>A125</f>
        <v>Pomegranate Juice</v>
      </c>
      <c r="B155" s="224" t="s">
        <v>518</v>
      </c>
      <c r="C155" s="224">
        <v>50</v>
      </c>
      <c r="D155" s="92">
        <f>(B142*(1-'5.Closing Stock &amp; W Capital'!$D$18)*$C155*D$149)</f>
        <v>0</v>
      </c>
      <c r="E155" s="92">
        <f>(((C142*(1-'5.Closing Stock &amp; W Capital'!$D$18))+(B142*'5.Closing Stock &amp; W Capital'!$D$18))*$C155*E$149)</f>
        <v>0</v>
      </c>
      <c r="F155" s="92">
        <f>(((D142*(1-'5.Closing Stock &amp; W Capital'!$D$18))+(C142*'5.Closing Stock &amp; W Capital'!$D$18))*$C155*F$149)</f>
        <v>0</v>
      </c>
      <c r="G155" s="92">
        <f>(((E142*(1-'5.Closing Stock &amp; W Capital'!$D$18))+(D142*'5.Closing Stock &amp; W Capital'!$D$18))*$C155*G$149)</f>
        <v>0</v>
      </c>
      <c r="H155" s="92">
        <f>(((F142*(1-'5.Closing Stock &amp; W Capital'!$D$18))+(E142*'5.Closing Stock &amp; W Capital'!$D$18))*$C155*H$149)</f>
        <v>0</v>
      </c>
      <c r="I155" s="92">
        <f>(((G142*(1-'5.Closing Stock &amp; W Capital'!$D$18))+(F142*'5.Closing Stock &amp; W Capital'!$D$18))*$C155*I$149)</f>
        <v>0</v>
      </c>
      <c r="J155" s="92">
        <f>(((H142*(1-'5.Closing Stock &amp; W Capital'!$D$18))+(G142*'5.Closing Stock &amp; W Capital'!$D$18))*$C155*J$149)</f>
        <v>0</v>
      </c>
    </row>
    <row r="156" spans="1:10">
      <c r="A156" s="91" t="str">
        <f>A126</f>
        <v>Pomegranate Powder</v>
      </c>
      <c r="B156" s="224" t="s">
        <v>356</v>
      </c>
      <c r="C156" s="224">
        <v>50</v>
      </c>
      <c r="D156" s="92">
        <f>(B143*(1-'5.Closing Stock &amp; W Capital'!$D$18)*$C156*D$149)</f>
        <v>0</v>
      </c>
      <c r="E156" s="92">
        <f>(((C143*(1-'5.Closing Stock &amp; W Capital'!$D$18))+(B143*'5.Closing Stock &amp; W Capital'!$D$18))*$C156*E$149)</f>
        <v>0</v>
      </c>
      <c r="F156" s="92">
        <f>(((D143*(1-'5.Closing Stock &amp; W Capital'!$D$18))+(C143*'5.Closing Stock &amp; W Capital'!$D$18))*$C156*F$149)</f>
        <v>0</v>
      </c>
      <c r="G156" s="92">
        <f>(((E143*(1-'5.Closing Stock &amp; W Capital'!$D$18))+(D143*'5.Closing Stock &amp; W Capital'!$D$18))*$C156*G$149)</f>
        <v>0</v>
      </c>
      <c r="H156" s="92">
        <f>(((F143*(1-'5.Closing Stock &amp; W Capital'!$D$18))+(E143*'5.Closing Stock &amp; W Capital'!$D$18))*$C156*H$149)</f>
        <v>0</v>
      </c>
      <c r="I156" s="92">
        <f>(((G143*(1-'5.Closing Stock &amp; W Capital'!$D$18))+(F143*'5.Closing Stock &amp; W Capital'!$D$18))*$C156*I$149)</f>
        <v>0</v>
      </c>
      <c r="J156" s="92">
        <f>(((H143*(1-'5.Closing Stock &amp; W Capital'!$D$18))+(G143*'5.Closing Stock &amp; W Capital'!$D$18))*$C156*J$149)</f>
        <v>0</v>
      </c>
    </row>
    <row r="157" spans="1:10">
      <c r="A157" s="91"/>
      <c r="B157" s="224"/>
      <c r="C157" s="224"/>
      <c r="D157" s="92"/>
      <c r="E157" s="92"/>
      <c r="F157" s="92"/>
      <c r="G157" s="92"/>
      <c r="H157" s="92"/>
      <c r="I157" s="92"/>
      <c r="J157" s="92"/>
    </row>
    <row r="158" spans="1:10">
      <c r="A158" s="91"/>
      <c r="B158" s="91"/>
      <c r="C158" s="91"/>
      <c r="D158" s="92"/>
      <c r="E158" s="92"/>
      <c r="F158" s="92"/>
      <c r="G158" s="92"/>
      <c r="H158" s="92"/>
      <c r="I158" s="92"/>
      <c r="J158" s="92"/>
    </row>
    <row r="159" spans="1:10">
      <c r="A159" s="93" t="s">
        <v>127</v>
      </c>
      <c r="B159" s="93"/>
      <c r="C159" s="93"/>
      <c r="D159" s="111">
        <f>SUM(D154:D158)</f>
        <v>0</v>
      </c>
      <c r="E159" s="111">
        <f t="shared" ref="E159:J159" si="25">SUM(E154:E158)</f>
        <v>0</v>
      </c>
      <c r="F159" s="111">
        <f t="shared" si="25"/>
        <v>0</v>
      </c>
      <c r="G159" s="111">
        <f t="shared" si="25"/>
        <v>0</v>
      </c>
      <c r="H159" s="111">
        <f t="shared" si="25"/>
        <v>0</v>
      </c>
      <c r="I159" s="111">
        <f t="shared" si="25"/>
        <v>0</v>
      </c>
      <c r="J159" s="111">
        <f t="shared" si="25"/>
        <v>0</v>
      </c>
    </row>
    <row r="160" spans="1:10">
      <c r="A160" s="91"/>
      <c r="B160" s="91"/>
      <c r="C160" s="91"/>
      <c r="D160" s="92"/>
      <c r="E160" s="92"/>
      <c r="F160" s="92"/>
      <c r="G160" s="92"/>
      <c r="H160" s="92"/>
      <c r="I160" s="92"/>
      <c r="J160" s="92"/>
    </row>
    <row r="161" spans="1:10">
      <c r="A161" s="93" t="s">
        <v>143</v>
      </c>
      <c r="B161" s="93"/>
      <c r="C161" s="93"/>
      <c r="D161" s="92"/>
      <c r="E161" s="92"/>
      <c r="F161" s="92"/>
      <c r="G161" s="92"/>
      <c r="H161" s="92"/>
      <c r="I161" s="92"/>
      <c r="J161" s="92"/>
    </row>
    <row r="162" spans="1:10">
      <c r="A162" s="93" t="s">
        <v>307</v>
      </c>
      <c r="B162" s="93"/>
      <c r="C162" s="91"/>
      <c r="D162" s="92"/>
      <c r="E162" s="92"/>
      <c r="F162" s="92"/>
      <c r="G162" s="92"/>
      <c r="H162" s="92"/>
      <c r="I162" s="92"/>
      <c r="J162" s="92"/>
    </row>
    <row r="163" spans="1:10">
      <c r="A163" s="95" t="s">
        <v>523</v>
      </c>
      <c r="B163" s="224" t="s">
        <v>357</v>
      </c>
      <c r="C163" s="244">
        <v>6000</v>
      </c>
      <c r="D163" s="92">
        <f>B62*$C163*D$149</f>
        <v>0</v>
      </c>
      <c r="E163" s="92">
        <f>C62*$C163*E$149</f>
        <v>0</v>
      </c>
      <c r="F163" s="92">
        <f t="shared" ref="F163:J163" si="26">D62*$C163*F$149</f>
        <v>0</v>
      </c>
      <c r="G163" s="92">
        <f t="shared" si="26"/>
        <v>0</v>
      </c>
      <c r="H163" s="92">
        <f t="shared" si="26"/>
        <v>0</v>
      </c>
      <c r="I163" s="92">
        <f t="shared" si="26"/>
        <v>0</v>
      </c>
      <c r="J163" s="92">
        <f t="shared" si="26"/>
        <v>0</v>
      </c>
    </row>
    <row r="164" spans="1:10">
      <c r="A164" s="91" t="s">
        <v>524</v>
      </c>
      <c r="B164" s="224" t="s">
        <v>357</v>
      </c>
      <c r="C164" s="224">
        <v>2000</v>
      </c>
      <c r="D164" s="92">
        <f>(B62*10%)*$C164*D$149</f>
        <v>0</v>
      </c>
      <c r="E164" s="92">
        <f t="shared" ref="E164:J164" si="27">(C62*10%)*$C164*E$149</f>
        <v>0</v>
      </c>
      <c r="F164" s="92">
        <f t="shared" si="27"/>
        <v>0</v>
      </c>
      <c r="G164" s="92">
        <f t="shared" si="27"/>
        <v>0</v>
      </c>
      <c r="H164" s="92">
        <f t="shared" si="27"/>
        <v>0</v>
      </c>
      <c r="I164" s="92">
        <f t="shared" si="27"/>
        <v>0</v>
      </c>
      <c r="J164" s="92">
        <f t="shared" si="27"/>
        <v>0</v>
      </c>
    </row>
    <row r="165" spans="1:10">
      <c r="A165" s="91" t="s">
        <v>313</v>
      </c>
      <c r="B165" s="224">
        <v>5</v>
      </c>
      <c r="C165" s="224">
        <v>300</v>
      </c>
      <c r="D165" s="92">
        <f t="shared" ref="D165:J165" si="28">B12*$B$165*$C$165*D149</f>
        <v>0</v>
      </c>
      <c r="E165" s="92">
        <f t="shared" si="28"/>
        <v>0</v>
      </c>
      <c r="F165" s="92">
        <f t="shared" si="28"/>
        <v>0</v>
      </c>
      <c r="G165" s="92">
        <f t="shared" si="28"/>
        <v>0</v>
      </c>
      <c r="H165" s="92">
        <f t="shared" si="28"/>
        <v>0</v>
      </c>
      <c r="I165" s="92">
        <f t="shared" si="28"/>
        <v>0</v>
      </c>
      <c r="J165" s="92">
        <f t="shared" si="28"/>
        <v>0</v>
      </c>
    </row>
    <row r="166" spans="1:10">
      <c r="A166" s="91" t="s">
        <v>145</v>
      </c>
      <c r="B166" s="91" t="e">
        <f>'2.Capex Details'!#REF!*0.746*8</f>
        <v>#REF!</v>
      </c>
      <c r="C166" s="224">
        <v>8</v>
      </c>
      <c r="D166" s="92"/>
      <c r="E166" s="92"/>
      <c r="F166" s="92"/>
      <c r="G166" s="92"/>
      <c r="H166" s="92"/>
      <c r="I166" s="92"/>
      <c r="J166" s="92"/>
    </row>
    <row r="167" spans="1:10">
      <c r="A167" s="91" t="s">
        <v>291</v>
      </c>
      <c r="B167" s="91" t="s">
        <v>357</v>
      </c>
      <c r="C167" s="224">
        <v>10</v>
      </c>
      <c r="D167" s="92">
        <f>B62*$C167*D$149</f>
        <v>0</v>
      </c>
      <c r="E167" s="92">
        <f t="shared" ref="E167:J167" si="29">C62*$C167*E$149</f>
        <v>0</v>
      </c>
      <c r="F167" s="92">
        <f t="shared" si="29"/>
        <v>0</v>
      </c>
      <c r="G167" s="92">
        <f t="shared" si="29"/>
        <v>0</v>
      </c>
      <c r="H167" s="92">
        <f t="shared" si="29"/>
        <v>0</v>
      </c>
      <c r="I167" s="92">
        <f t="shared" si="29"/>
        <v>0</v>
      </c>
      <c r="J167" s="92">
        <f t="shared" si="29"/>
        <v>0</v>
      </c>
    </row>
    <row r="168" spans="1:10">
      <c r="A168" s="105" t="s">
        <v>292</v>
      </c>
      <c r="B168" s="105"/>
      <c r="C168" s="246">
        <v>2</v>
      </c>
      <c r="D168" s="92">
        <f>SUM(B141:B143)*$C$168*D$149</f>
        <v>0</v>
      </c>
      <c r="E168" s="92">
        <f t="shared" ref="E168:J168" si="30">SUM(C141:C143)*$C$168*E$149</f>
        <v>0</v>
      </c>
      <c r="F168" s="92">
        <f t="shared" si="30"/>
        <v>0</v>
      </c>
      <c r="G168" s="92">
        <f t="shared" si="30"/>
        <v>0</v>
      </c>
      <c r="H168" s="92">
        <f t="shared" si="30"/>
        <v>0</v>
      </c>
      <c r="I168" s="92">
        <f t="shared" si="30"/>
        <v>0</v>
      </c>
      <c r="J168" s="92">
        <f t="shared" si="30"/>
        <v>0</v>
      </c>
    </row>
    <row r="169" spans="1:10">
      <c r="A169" s="91" t="s">
        <v>293</v>
      </c>
      <c r="B169" s="91"/>
      <c r="C169" s="224">
        <v>1</v>
      </c>
      <c r="D169" s="92">
        <f>SUM(B141:B143)*$C$169*D$149</f>
        <v>0</v>
      </c>
      <c r="E169" s="92">
        <f t="shared" ref="E169:J169" si="31">SUM(C141:C143)*$C$169*E$149</f>
        <v>0</v>
      </c>
      <c r="F169" s="92">
        <f t="shared" si="31"/>
        <v>0</v>
      </c>
      <c r="G169" s="92">
        <f t="shared" si="31"/>
        <v>0</v>
      </c>
      <c r="H169" s="92">
        <f t="shared" si="31"/>
        <v>0</v>
      </c>
      <c r="I169" s="92">
        <f t="shared" si="31"/>
        <v>0</v>
      </c>
      <c r="J169" s="92">
        <f t="shared" si="31"/>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1" t="s">
        <v>336</v>
      </c>
      <c r="B174" s="92"/>
      <c r="C174" s="92"/>
      <c r="D174" s="92"/>
      <c r="E174" s="92">
        <f>'5.Closing Stock &amp; W Capital'!F9</f>
        <v>0</v>
      </c>
      <c r="F174" s="92">
        <f>'5.Closing Stock &amp; W Capital'!G9</f>
        <v>0</v>
      </c>
      <c r="G174" s="92">
        <f>'5.Closing Stock &amp; W Capital'!H9</f>
        <v>0</v>
      </c>
      <c r="H174" s="92">
        <f>'5.Closing Stock &amp; W Capital'!I9</f>
        <v>0</v>
      </c>
      <c r="I174" s="92">
        <f>'5.Closing Stock &amp; W Capital'!J9</f>
        <v>0</v>
      </c>
      <c r="J174" s="92">
        <f>'5.Closing Stock &amp; W Capital'!K9</f>
        <v>0</v>
      </c>
    </row>
    <row r="175" spans="1:10">
      <c r="A175" s="191" t="s">
        <v>337</v>
      </c>
      <c r="B175" s="92"/>
      <c r="C175" s="92"/>
      <c r="D175" s="92">
        <f>'5.Closing Stock &amp; W Capital'!E18</f>
        <v>0</v>
      </c>
      <c r="E175" s="92">
        <f>'5.Closing Stock &amp; W Capital'!F18</f>
        <v>0</v>
      </c>
      <c r="F175" s="92">
        <f>'5.Closing Stock &amp; W Capital'!G18</f>
        <v>0</v>
      </c>
      <c r="G175" s="92">
        <f>'5.Closing Stock &amp; W Capital'!H18</f>
        <v>0</v>
      </c>
      <c r="H175" s="92">
        <f>'5.Closing Stock &amp; W Capital'!I18</f>
        <v>0</v>
      </c>
      <c r="I175" s="92">
        <f>'5.Closing Stock &amp; W Capital'!J18</f>
        <v>0</v>
      </c>
      <c r="J175" s="92">
        <f>'5.Closing Stock &amp; W Capital'!K18</f>
        <v>0</v>
      </c>
    </row>
    <row r="176" spans="1:10">
      <c r="A176" s="92"/>
      <c r="B176" s="92"/>
      <c r="C176" s="92"/>
      <c r="D176" s="92"/>
      <c r="E176" s="92"/>
      <c r="F176" s="92"/>
      <c r="G176" s="92"/>
      <c r="H176" s="92"/>
      <c r="I176" s="92"/>
      <c r="J176" s="92"/>
    </row>
    <row r="177" spans="1:10">
      <c r="A177" s="111" t="s">
        <v>314</v>
      </c>
      <c r="B177" s="92"/>
      <c r="C177" s="92"/>
      <c r="D177" s="111">
        <f t="shared" ref="D177:J177" si="32">SUM(D163:D174)-D175</f>
        <v>0</v>
      </c>
      <c r="E177" s="111">
        <f t="shared" si="32"/>
        <v>0</v>
      </c>
      <c r="F177" s="111">
        <f t="shared" si="32"/>
        <v>0</v>
      </c>
      <c r="G177" s="111">
        <f t="shared" si="32"/>
        <v>0</v>
      </c>
      <c r="H177" s="111">
        <f t="shared" si="32"/>
        <v>0</v>
      </c>
      <c r="I177" s="111">
        <f t="shared" si="32"/>
        <v>0</v>
      </c>
      <c r="J177" s="111">
        <f t="shared" si="32"/>
        <v>0</v>
      </c>
    </row>
    <row r="178" spans="1:10">
      <c r="A178" s="90"/>
      <c r="B178" s="90"/>
      <c r="C178" s="90"/>
      <c r="D178" s="90"/>
      <c r="E178" s="90"/>
      <c r="F178" s="90"/>
      <c r="G178" s="90"/>
      <c r="H178" s="90"/>
      <c r="I178" s="90"/>
      <c r="J178" s="90"/>
    </row>
    <row r="179" spans="1:10">
      <c r="A179" s="192" t="s">
        <v>306</v>
      </c>
      <c r="B179" s="192"/>
      <c r="C179" s="192"/>
      <c r="D179" s="111"/>
      <c r="E179" s="111"/>
      <c r="F179" s="111"/>
      <c r="G179" s="111"/>
      <c r="H179" s="111"/>
      <c r="I179" s="111"/>
      <c r="J179" s="111"/>
    </row>
    <row r="180" spans="1:10">
      <c r="A180" s="91" t="s">
        <v>186</v>
      </c>
      <c r="B180" s="224">
        <v>1</v>
      </c>
      <c r="C180" s="244"/>
      <c r="D180" s="92">
        <f t="shared" ref="D180:J180" si="33">$B$180*$C$180*12*D149</f>
        <v>0</v>
      </c>
      <c r="E180" s="92">
        <f t="shared" si="33"/>
        <v>0</v>
      </c>
      <c r="F180" s="92">
        <f t="shared" si="33"/>
        <v>0</v>
      </c>
      <c r="G180" s="92">
        <f t="shared" si="33"/>
        <v>0</v>
      </c>
      <c r="H180" s="92">
        <f t="shared" si="33"/>
        <v>0</v>
      </c>
      <c r="I180" s="92">
        <f t="shared" si="33"/>
        <v>0</v>
      </c>
      <c r="J180" s="92">
        <f t="shared" si="33"/>
        <v>0</v>
      </c>
    </row>
    <row r="181" spans="1:10">
      <c r="A181" s="91" t="s">
        <v>191</v>
      </c>
      <c r="B181" s="224">
        <v>2</v>
      </c>
      <c r="C181" s="244"/>
      <c r="D181" s="92">
        <f t="shared" ref="D181:J181" si="34">$B$181*$C$181*12*D149</f>
        <v>0</v>
      </c>
      <c r="E181" s="92">
        <f t="shared" si="34"/>
        <v>0</v>
      </c>
      <c r="F181" s="92">
        <f t="shared" si="34"/>
        <v>0</v>
      </c>
      <c r="G181" s="92">
        <f t="shared" si="34"/>
        <v>0</v>
      </c>
      <c r="H181" s="92">
        <f t="shared" si="34"/>
        <v>0</v>
      </c>
      <c r="I181" s="92">
        <f t="shared" si="34"/>
        <v>0</v>
      </c>
      <c r="J181" s="92">
        <f t="shared" si="34"/>
        <v>0</v>
      </c>
    </row>
    <row r="182" spans="1:10">
      <c r="A182" s="91"/>
      <c r="B182" s="224"/>
      <c r="C182" s="244"/>
      <c r="D182" s="92"/>
      <c r="E182" s="92"/>
      <c r="F182" s="92"/>
      <c r="G182" s="92"/>
      <c r="H182" s="92"/>
      <c r="I182" s="92"/>
      <c r="J182" s="92"/>
    </row>
    <row r="183" spans="1:10">
      <c r="A183" s="91"/>
      <c r="B183" s="224"/>
      <c r="C183" s="244"/>
      <c r="D183" s="92"/>
      <c r="E183" s="92"/>
      <c r="F183" s="92"/>
      <c r="G183" s="92"/>
      <c r="H183" s="92"/>
      <c r="I183" s="92"/>
      <c r="J183" s="92"/>
    </row>
    <row r="184" spans="1:10">
      <c r="A184" s="91"/>
      <c r="B184" s="224"/>
      <c r="C184" s="244"/>
      <c r="D184" s="92"/>
      <c r="E184" s="92"/>
      <c r="F184" s="92"/>
      <c r="G184" s="92"/>
      <c r="H184" s="92"/>
      <c r="I184" s="92"/>
      <c r="J184" s="92"/>
    </row>
    <row r="185" spans="1:10">
      <c r="A185" s="93" t="s">
        <v>306</v>
      </c>
      <c r="B185" s="93"/>
      <c r="C185" s="93"/>
      <c r="D185" s="111">
        <f>SUM(D180:D184)</f>
        <v>0</v>
      </c>
      <c r="E185" s="111">
        <f t="shared" ref="E185:J185" si="35">SUM(E180:E184)</f>
        <v>0</v>
      </c>
      <c r="F185" s="111">
        <f t="shared" si="35"/>
        <v>0</v>
      </c>
      <c r="G185" s="111">
        <f t="shared" si="35"/>
        <v>0</v>
      </c>
      <c r="H185" s="111">
        <f t="shared" si="35"/>
        <v>0</v>
      </c>
      <c r="I185" s="111">
        <f t="shared" si="35"/>
        <v>0</v>
      </c>
      <c r="J185" s="111">
        <f t="shared" si="35"/>
        <v>0</v>
      </c>
    </row>
    <row r="186" spans="1:10">
      <c r="A186" s="192" t="s">
        <v>294</v>
      </c>
      <c r="B186" s="192"/>
      <c r="C186" s="192"/>
      <c r="D186" s="111">
        <f>D177+D185</f>
        <v>0</v>
      </c>
      <c r="E186" s="111">
        <f t="shared" ref="E186:J186" si="36">E177+E185</f>
        <v>0</v>
      </c>
      <c r="F186" s="111">
        <f t="shared" si="36"/>
        <v>0</v>
      </c>
      <c r="G186" s="111">
        <f t="shared" si="36"/>
        <v>0</v>
      </c>
      <c r="H186" s="111">
        <f t="shared" si="36"/>
        <v>0</v>
      </c>
      <c r="I186" s="111">
        <f t="shared" si="36"/>
        <v>0</v>
      </c>
      <c r="J186" s="111">
        <f t="shared" si="36"/>
        <v>0</v>
      </c>
    </row>
    <row r="187" spans="1:10">
      <c r="A187" s="91"/>
      <c r="B187" s="91"/>
      <c r="C187" s="91"/>
      <c r="D187" s="92"/>
      <c r="E187" s="92"/>
      <c r="F187" s="92"/>
      <c r="G187" s="92"/>
      <c r="H187" s="92"/>
      <c r="I187" s="92"/>
      <c r="J187" s="92"/>
    </row>
    <row r="188" spans="1:10">
      <c r="A188" s="93" t="s">
        <v>7</v>
      </c>
      <c r="B188" s="93"/>
      <c r="C188" s="93"/>
      <c r="D188" s="111">
        <f t="shared" ref="D188:J188" si="37">D159-D186</f>
        <v>0</v>
      </c>
      <c r="E188" s="111">
        <f t="shared" si="37"/>
        <v>0</v>
      </c>
      <c r="F188" s="111">
        <f t="shared" si="37"/>
        <v>0</v>
      </c>
      <c r="G188" s="111">
        <f t="shared" si="37"/>
        <v>0</v>
      </c>
      <c r="H188" s="111">
        <f t="shared" si="37"/>
        <v>0</v>
      </c>
      <c r="I188" s="111">
        <f t="shared" si="37"/>
        <v>0</v>
      </c>
      <c r="J188" s="111">
        <f t="shared" si="37"/>
        <v>0</v>
      </c>
    </row>
    <row r="189" spans="1:10">
      <c r="A189" s="112"/>
      <c r="B189" s="112"/>
      <c r="C189" s="112"/>
      <c r="D189" s="90"/>
      <c r="E189" s="90"/>
      <c r="F189" s="90"/>
      <c r="G189" s="90"/>
      <c r="H189" s="90"/>
      <c r="I189" s="90"/>
      <c r="J189" s="90"/>
    </row>
    <row r="190" spans="1:10">
      <c r="A190" s="90"/>
      <c r="B190" s="90"/>
      <c r="C190" s="90"/>
      <c r="D190" s="90"/>
      <c r="E190" s="90"/>
      <c r="F190" s="90"/>
      <c r="G190" s="90"/>
      <c r="H190" s="90"/>
      <c r="I190" s="90"/>
      <c r="J190" s="90"/>
    </row>
    <row r="191" spans="1:10">
      <c r="A191" s="90"/>
      <c r="B191" s="90"/>
      <c r="C191" s="90"/>
      <c r="D191" s="90"/>
      <c r="E191" s="90"/>
      <c r="F191" s="90"/>
      <c r="G191" s="90"/>
      <c r="H191" s="90"/>
      <c r="I191" s="90"/>
      <c r="J191" s="90"/>
    </row>
    <row r="192" spans="1:10">
      <c r="A192" s="472" t="s">
        <v>413</v>
      </c>
      <c r="B192" s="472"/>
      <c r="C192" s="472"/>
      <c r="D192" s="472"/>
      <c r="E192" s="472"/>
      <c r="F192" s="472"/>
      <c r="G192" s="472"/>
      <c r="H192" s="472"/>
      <c r="I192" s="472"/>
      <c r="J192" s="472"/>
    </row>
    <row r="194" spans="1:5">
      <c r="A194" t="s">
        <v>530</v>
      </c>
    </row>
    <row r="195" spans="1:5">
      <c r="A195">
        <v>1</v>
      </c>
      <c r="B195" t="s">
        <v>543</v>
      </c>
    </row>
    <row r="196" spans="1:5">
      <c r="A196">
        <v>2</v>
      </c>
      <c r="B196" t="s">
        <v>544</v>
      </c>
      <c r="C196" s="66"/>
      <c r="D196" s="66"/>
      <c r="E196" s="66"/>
    </row>
    <row r="197" spans="1:5">
      <c r="A197">
        <v>3</v>
      </c>
      <c r="B197" s="90" t="s">
        <v>595</v>
      </c>
    </row>
    <row r="199" spans="1:5">
      <c r="A199" t="s">
        <v>689</v>
      </c>
      <c r="B199" t="s">
        <v>691</v>
      </c>
    </row>
    <row r="200" spans="1:5">
      <c r="B200" t="s">
        <v>703</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3"/>
  <sheetViews>
    <sheetView view="pageBreakPreview" topLeftCell="A30" zoomScaleNormal="100" zoomScaleSheetLayoutView="100" workbookViewId="0">
      <selection activeCell="P32" sqref="P32"/>
    </sheetView>
  </sheetViews>
  <sheetFormatPr defaultRowHeight="14.5"/>
  <cols>
    <col min="2" max="2" width="7.54296875" bestFit="1" customWidth="1"/>
    <col min="3" max="3" width="26.26953125" bestFit="1" customWidth="1"/>
    <col min="4" max="4" width="15" customWidth="1"/>
    <col min="5" max="5" width="16" customWidth="1"/>
    <col min="6" max="6" width="24" customWidth="1"/>
    <col min="7" max="7" width="29.7265625" hidden="1" customWidth="1"/>
    <col min="8" max="8" width="5" hidden="1" customWidth="1"/>
    <col min="9" max="10" width="0" hidden="1" customWidth="1"/>
    <col min="11" max="11" width="17.90625" hidden="1" customWidth="1"/>
    <col min="12" max="13" width="10.36328125" hidden="1" customWidth="1"/>
    <col min="14" max="14" width="16" hidden="1" customWidth="1"/>
    <col min="15" max="15" width="0" hidden="1" customWidth="1"/>
    <col min="16" max="16" width="11.453125" bestFit="1" customWidth="1"/>
    <col min="17" max="17" width="10" bestFit="1" customWidth="1"/>
  </cols>
  <sheetData>
    <row r="1" spans="1:16">
      <c r="J1" s="472" t="s">
        <v>707</v>
      </c>
      <c r="K1" s="472"/>
      <c r="L1" s="472"/>
      <c r="M1" s="472"/>
      <c r="N1" s="472"/>
    </row>
    <row r="2" spans="1:16" ht="17.5">
      <c r="B2" s="473" t="s">
        <v>547</v>
      </c>
      <c r="C2" s="473"/>
      <c r="D2" s="473"/>
      <c r="E2" s="473"/>
      <c r="F2" s="473"/>
      <c r="J2" s="473" t="s">
        <v>547</v>
      </c>
      <c r="K2" s="473"/>
      <c r="L2" s="473"/>
      <c r="M2" s="473"/>
      <c r="N2" s="473"/>
    </row>
    <row r="4" spans="1:16" ht="26">
      <c r="B4" s="332" t="s">
        <v>146</v>
      </c>
      <c r="C4" s="332" t="s">
        <v>128</v>
      </c>
      <c r="D4" s="332" t="s">
        <v>158</v>
      </c>
      <c r="E4" s="337" t="s">
        <v>454</v>
      </c>
      <c r="F4" s="337" t="s">
        <v>455</v>
      </c>
      <c r="J4" s="332" t="s">
        <v>146</v>
      </c>
      <c r="K4" s="332" t="s">
        <v>128</v>
      </c>
      <c r="L4" s="332" t="s">
        <v>158</v>
      </c>
      <c r="M4" s="332" t="s">
        <v>454</v>
      </c>
      <c r="N4" s="332" t="s">
        <v>455</v>
      </c>
    </row>
    <row r="5" spans="1:16">
      <c r="B5" s="333">
        <v>1</v>
      </c>
      <c r="C5" s="334" t="str">
        <f>'2.Capex Details'!B2</f>
        <v>Land and Building</v>
      </c>
      <c r="D5" s="338">
        <f>'2.Capex Details'!G10</f>
        <v>26080427</v>
      </c>
      <c r="E5" s="339">
        <v>0.6</v>
      </c>
      <c r="F5" s="340">
        <f>D5*E5</f>
        <v>15648256.199999999</v>
      </c>
      <c r="J5" s="333">
        <v>1</v>
      </c>
      <c r="K5" s="334" t="str">
        <f>C5</f>
        <v>Land and Building</v>
      </c>
      <c r="L5" s="338">
        <f>D5</f>
        <v>26080427</v>
      </c>
      <c r="M5" s="339">
        <v>0.46</v>
      </c>
      <c r="N5" s="340">
        <f>L5*M5</f>
        <v>11996996.42</v>
      </c>
      <c r="P5" s="66"/>
    </row>
    <row r="6" spans="1:16" ht="17" customHeight="1">
      <c r="B6" s="333">
        <v>2</v>
      </c>
      <c r="C6" s="334" t="str">
        <f>'2.Capex Details'!B15</f>
        <v>Machinery and Equipment</v>
      </c>
      <c r="D6" s="338">
        <f>'2.Capex Details'!G58</f>
        <v>3640360</v>
      </c>
      <c r="E6" s="339">
        <v>0.6</v>
      </c>
      <c r="F6" s="340">
        <f t="shared" ref="F6:F10" si="0">D6*E6</f>
        <v>2184216</v>
      </c>
      <c r="J6" s="333">
        <v>2</v>
      </c>
      <c r="K6" s="334" t="str">
        <f t="shared" ref="K6:K11" si="1">C6</f>
        <v>Machinery and Equipment</v>
      </c>
      <c r="L6" s="338">
        <f t="shared" ref="L6:L11" si="2">D6</f>
        <v>3640360</v>
      </c>
      <c r="M6" s="339">
        <f>M5</f>
        <v>0.46</v>
      </c>
      <c r="N6" s="340">
        <f t="shared" ref="N6:N10" si="3">L6*M6</f>
        <v>1674565.6</v>
      </c>
    </row>
    <row r="7" spans="1:16">
      <c r="B7" s="333">
        <v>3</v>
      </c>
      <c r="C7" s="334" t="str">
        <f>'2.Capex Details'!B64</f>
        <v>Furniture and Fixture</v>
      </c>
      <c r="D7" s="338">
        <f>'2.Capex Details'!F73</f>
        <v>0</v>
      </c>
      <c r="E7" s="339">
        <v>0.6</v>
      </c>
      <c r="F7" s="340">
        <f t="shared" si="0"/>
        <v>0</v>
      </c>
      <c r="J7" s="333">
        <v>3</v>
      </c>
      <c r="K7" s="334" t="str">
        <f t="shared" si="1"/>
        <v>Furniture and Fixture</v>
      </c>
      <c r="L7" s="338">
        <f t="shared" si="2"/>
        <v>0</v>
      </c>
      <c r="M7" s="339">
        <f t="shared" ref="M7:M10" si="4">M6</f>
        <v>0.46</v>
      </c>
      <c r="N7" s="340">
        <f t="shared" si="3"/>
        <v>0</v>
      </c>
    </row>
    <row r="8" spans="1:16">
      <c r="B8" s="333">
        <v>4</v>
      </c>
      <c r="C8" s="334" t="str">
        <f>'2.Capex Details'!B78</f>
        <v>IT &amp; It Infrastracture</v>
      </c>
      <c r="D8" s="338">
        <f>'2.Capex Details'!F107</f>
        <v>0</v>
      </c>
      <c r="E8" s="339">
        <v>0.6</v>
      </c>
      <c r="F8" s="340">
        <f t="shared" si="0"/>
        <v>0</v>
      </c>
      <c r="J8" s="333">
        <v>4</v>
      </c>
      <c r="K8" s="334" t="str">
        <f t="shared" si="1"/>
        <v>IT &amp; It Infrastracture</v>
      </c>
      <c r="L8" s="338">
        <f t="shared" si="2"/>
        <v>0</v>
      </c>
      <c r="M8" s="339">
        <f t="shared" si="4"/>
        <v>0.46</v>
      </c>
      <c r="N8" s="340">
        <f t="shared" si="3"/>
        <v>0</v>
      </c>
    </row>
    <row r="9" spans="1:16">
      <c r="B9" s="333">
        <v>5</v>
      </c>
      <c r="C9" s="334" t="str">
        <f>'2.Capex Details'!B112</f>
        <v>Vehicle</v>
      </c>
      <c r="D9" s="338">
        <f>'2.Capex Details'!F136</f>
        <v>0</v>
      </c>
      <c r="E9" s="339">
        <v>0.6</v>
      </c>
      <c r="F9" s="340">
        <f t="shared" si="0"/>
        <v>0</v>
      </c>
      <c r="J9" s="333">
        <v>5</v>
      </c>
      <c r="K9" s="334" t="str">
        <f t="shared" si="1"/>
        <v>Vehicle</v>
      </c>
      <c r="L9" s="338">
        <f t="shared" si="2"/>
        <v>0</v>
      </c>
      <c r="M9" s="339">
        <f t="shared" si="4"/>
        <v>0.46</v>
      </c>
      <c r="N9" s="340">
        <f t="shared" si="3"/>
        <v>0</v>
      </c>
    </row>
    <row r="10" spans="1:16">
      <c r="B10" s="333">
        <v>6</v>
      </c>
      <c r="C10" s="334" t="str">
        <f>'2.Capex Details'!B140</f>
        <v>Preliminary Expenses</v>
      </c>
      <c r="D10" s="338">
        <f>'2.Capex Details'!D146</f>
        <v>120000</v>
      </c>
      <c r="E10" s="339">
        <v>0.6</v>
      </c>
      <c r="F10" s="340">
        <f t="shared" si="0"/>
        <v>72000</v>
      </c>
      <c r="J10" s="333">
        <v>6</v>
      </c>
      <c r="K10" s="334" t="str">
        <f t="shared" si="1"/>
        <v>Preliminary Expenses</v>
      </c>
      <c r="L10" s="338">
        <f t="shared" si="2"/>
        <v>120000</v>
      </c>
      <c r="M10" s="339">
        <f t="shared" si="4"/>
        <v>0.46</v>
      </c>
      <c r="N10" s="340">
        <f t="shared" si="3"/>
        <v>55200</v>
      </c>
    </row>
    <row r="11" spans="1:16">
      <c r="B11" s="333">
        <v>7</v>
      </c>
      <c r="C11" s="334" t="s">
        <v>157</v>
      </c>
      <c r="D11" s="338">
        <f>'5.Closing Stock &amp; W Capital'!E57</f>
        <v>580170.90216580825</v>
      </c>
      <c r="E11" s="341"/>
      <c r="F11" s="341"/>
      <c r="J11" s="333">
        <v>7</v>
      </c>
      <c r="K11" s="334" t="str">
        <f t="shared" si="1"/>
        <v>Working Capital</v>
      </c>
      <c r="L11" s="338">
        <f t="shared" si="2"/>
        <v>580170.90216580825</v>
      </c>
      <c r="M11" s="341"/>
      <c r="N11" s="341"/>
    </row>
    <row r="12" spans="1:16">
      <c r="B12" s="471" t="s">
        <v>1</v>
      </c>
      <c r="C12" s="471"/>
      <c r="D12" s="342">
        <f>SUM(D5:D11)</f>
        <v>30420957.902165808</v>
      </c>
      <c r="E12" s="341"/>
      <c r="F12" s="342">
        <f>SUM(F5:F11)</f>
        <v>17904472.199999999</v>
      </c>
      <c r="J12" s="471" t="s">
        <v>1</v>
      </c>
      <c r="K12" s="471"/>
      <c r="L12" s="342">
        <f>SUM(L5:L11)</f>
        <v>30420957.902165808</v>
      </c>
      <c r="M12" s="341"/>
      <c r="N12" s="342">
        <f>SUM(N5:N11)</f>
        <v>13726762.02</v>
      </c>
    </row>
    <row r="13" spans="1:16">
      <c r="D13" s="22"/>
      <c r="L13" s="22"/>
      <c r="M13" s="22"/>
    </row>
    <row r="14" spans="1:16" ht="25.5" customHeight="1">
      <c r="A14" s="474" t="s">
        <v>406</v>
      </c>
      <c r="B14" s="474"/>
      <c r="C14" s="474"/>
      <c r="D14" s="474"/>
      <c r="E14" s="474"/>
      <c r="F14" s="474"/>
      <c r="H14" s="378"/>
      <c r="I14" s="474"/>
      <c r="J14" s="474"/>
      <c r="K14" s="474"/>
      <c r="L14" s="474"/>
      <c r="M14" s="474"/>
      <c r="N14" s="474"/>
    </row>
    <row r="16" spans="1:16" ht="17.5">
      <c r="B16" s="473" t="s">
        <v>548</v>
      </c>
      <c r="C16" s="473"/>
      <c r="D16" s="473"/>
      <c r="E16" s="473"/>
      <c r="F16" s="473"/>
      <c r="J16" s="473" t="s">
        <v>548</v>
      </c>
      <c r="K16" s="473"/>
      <c r="L16" s="473"/>
      <c r="M16" s="473"/>
      <c r="N16" s="473"/>
    </row>
    <row r="18" spans="2:17" ht="26">
      <c r="B18" s="331" t="s">
        <v>146</v>
      </c>
      <c r="C18" s="332" t="s">
        <v>128</v>
      </c>
      <c r="D18" s="332" t="s">
        <v>636</v>
      </c>
      <c r="E18" s="332" t="s">
        <v>158</v>
      </c>
      <c r="J18" s="331" t="s">
        <v>146</v>
      </c>
      <c r="K18" s="332" t="s">
        <v>128</v>
      </c>
      <c r="L18" s="332" t="s">
        <v>636</v>
      </c>
      <c r="M18" s="332" t="s">
        <v>158</v>
      </c>
    </row>
    <row r="19" spans="2:17" ht="26">
      <c r="B19" s="333">
        <v>1</v>
      </c>
      <c r="C19" s="334" t="s">
        <v>326</v>
      </c>
      <c r="D19" s="362"/>
      <c r="E19" s="396">
        <f>IF(F12&lt;=20000000,F12,"2,00,00,000")</f>
        <v>17904472.199999999</v>
      </c>
      <c r="J19" s="333">
        <v>1</v>
      </c>
      <c r="K19" s="334" t="s">
        <v>326</v>
      </c>
      <c r="L19" s="362"/>
      <c r="M19" s="396">
        <f>IF(N12&lt;=20000000,N12,"2,00,00,000")</f>
        <v>13726762.02</v>
      </c>
    </row>
    <row r="20" spans="2:17" ht="39">
      <c r="B20" s="333">
        <v>2</v>
      </c>
      <c r="C20" s="334" t="s">
        <v>702</v>
      </c>
      <c r="D20" s="376"/>
      <c r="E20" s="335">
        <f>D12-E19-E21</f>
        <v>10444275.449999999</v>
      </c>
      <c r="G20" s="66"/>
      <c r="J20" s="333">
        <v>2</v>
      </c>
      <c r="K20" s="334" t="s">
        <v>708</v>
      </c>
      <c r="L20" s="361"/>
      <c r="M20" s="335">
        <f>L12-M19-M21</f>
        <v>13129946.279999999</v>
      </c>
    </row>
    <row r="21" spans="2:17" ht="52">
      <c r="B21" s="333">
        <v>3</v>
      </c>
      <c r="C21" s="334" t="s">
        <v>767</v>
      </c>
      <c r="D21" s="361">
        <v>0.05</v>
      </c>
      <c r="E21" s="335">
        <f>(SUM(D5:D10)*D21)+D11</f>
        <v>2072210.2521658083</v>
      </c>
      <c r="J21" s="333">
        <v>3</v>
      </c>
      <c r="K21" s="334" t="s">
        <v>709</v>
      </c>
      <c r="L21" s="361">
        <v>0.1</v>
      </c>
      <c r="M21" s="335">
        <f>(SUM(L5:L10)*L21)+L11</f>
        <v>3564249.6021658084</v>
      </c>
      <c r="Q21" s="22"/>
    </row>
    <row r="22" spans="2:17">
      <c r="B22" s="471" t="s">
        <v>1</v>
      </c>
      <c r="C22" s="471"/>
      <c r="D22" s="336"/>
      <c r="E22" s="336">
        <f>E19+E20+E21</f>
        <v>30420957.902165808</v>
      </c>
      <c r="J22" s="471" t="s">
        <v>1</v>
      </c>
      <c r="K22" s="471"/>
      <c r="L22" s="336"/>
      <c r="M22" s="336">
        <f>M19+M20+M21</f>
        <v>30420957.902165804</v>
      </c>
    </row>
    <row r="24" spans="2:17">
      <c r="B24" s="472" t="s">
        <v>407</v>
      </c>
      <c r="C24" s="472"/>
      <c r="D24" s="472"/>
      <c r="E24" s="472"/>
      <c r="F24" s="472"/>
      <c r="J24" s="472"/>
      <c r="K24" s="472"/>
      <c r="L24" s="472"/>
      <c r="M24" s="472"/>
      <c r="N24" s="472"/>
    </row>
    <row r="26" spans="2:17" ht="17.5">
      <c r="B26" s="475" t="s">
        <v>549</v>
      </c>
      <c r="C26" s="475"/>
      <c r="D26" s="475"/>
      <c r="E26" s="475"/>
      <c r="F26" s="475"/>
      <c r="J26" s="473" t="s">
        <v>549</v>
      </c>
      <c r="K26" s="473"/>
      <c r="L26" s="473"/>
      <c r="M26" s="473"/>
      <c r="N26" s="473"/>
    </row>
    <row r="27" spans="2:17" ht="30" customHeight="1">
      <c r="B27" s="344" t="s">
        <v>146</v>
      </c>
      <c r="C27" s="343" t="s">
        <v>597</v>
      </c>
      <c r="D27" s="343" t="s">
        <v>598</v>
      </c>
      <c r="E27" s="344" t="s">
        <v>599</v>
      </c>
      <c r="F27" s="344" t="s">
        <v>600</v>
      </c>
      <c r="J27" s="344" t="s">
        <v>146</v>
      </c>
      <c r="K27" s="343" t="s">
        <v>597</v>
      </c>
      <c r="L27" s="343" t="s">
        <v>598</v>
      </c>
      <c r="M27" s="344" t="s">
        <v>599</v>
      </c>
      <c r="N27" s="344" t="s">
        <v>600</v>
      </c>
    </row>
    <row r="28" spans="2:17" ht="26">
      <c r="B28" s="345">
        <v>1</v>
      </c>
      <c r="C28" s="334" t="s">
        <v>372</v>
      </c>
      <c r="D28" s="346">
        <f>'9.1 Financial indiacators'!C49</f>
        <v>0.40331971809116668</v>
      </c>
      <c r="E28" s="345" t="s">
        <v>373</v>
      </c>
      <c r="F28" s="354" t="s">
        <v>705</v>
      </c>
      <c r="G28" s="352"/>
      <c r="J28" s="345">
        <v>1</v>
      </c>
      <c r="K28" s="334" t="s">
        <v>372</v>
      </c>
      <c r="L28" s="346">
        <f>VGF!B210</f>
        <v>0.27118898276238501</v>
      </c>
      <c r="M28" s="345" t="s">
        <v>373</v>
      </c>
      <c r="N28" s="386" t="s">
        <v>710</v>
      </c>
    </row>
    <row r="29" spans="2:17" ht="39">
      <c r="B29" s="345">
        <v>2</v>
      </c>
      <c r="C29" s="334" t="s">
        <v>374</v>
      </c>
      <c r="D29" s="347">
        <f>'9.1 Financial indiacators'!C85</f>
        <v>0.18983559105099465</v>
      </c>
      <c r="E29" s="345" t="s">
        <v>373</v>
      </c>
      <c r="F29" s="354" t="s">
        <v>679</v>
      </c>
      <c r="G29" s="353"/>
      <c r="J29" s="345">
        <v>2</v>
      </c>
      <c r="K29" s="334" t="s">
        <v>374</v>
      </c>
      <c r="L29" s="347">
        <f>VGF!B246</f>
        <v>0.32769160633889233</v>
      </c>
      <c r="M29" s="345" t="s">
        <v>373</v>
      </c>
      <c r="N29" s="386" t="s">
        <v>679</v>
      </c>
    </row>
    <row r="30" spans="2:17" ht="39">
      <c r="B30" s="345">
        <v>3</v>
      </c>
      <c r="C30" s="334" t="s">
        <v>375</v>
      </c>
      <c r="D30" s="346">
        <f>'9.1 Financial indiacators'!C16</f>
        <v>0.10820849880681416</v>
      </c>
      <c r="E30" s="345" t="s">
        <v>373</v>
      </c>
      <c r="F30" s="354" t="s">
        <v>602</v>
      </c>
      <c r="G30" s="353"/>
      <c r="J30" s="345">
        <v>3</v>
      </c>
      <c r="K30" s="334" t="s">
        <v>375</v>
      </c>
      <c r="L30" s="346">
        <f>VGF!B177</f>
        <v>0.27237318773803909</v>
      </c>
      <c r="M30" s="345" t="s">
        <v>373</v>
      </c>
      <c r="N30" s="386" t="s">
        <v>602</v>
      </c>
    </row>
    <row r="31" spans="2:17" ht="78">
      <c r="B31" s="345">
        <v>4</v>
      </c>
      <c r="C31" s="334" t="s">
        <v>376</v>
      </c>
      <c r="D31" s="348">
        <f>'9.1 Financial indiacators'!C73</f>
        <v>975886.11120708659</v>
      </c>
      <c r="E31" s="345" t="s">
        <v>680</v>
      </c>
      <c r="F31" s="354" t="s">
        <v>601</v>
      </c>
      <c r="G31" s="353"/>
      <c r="J31" s="345">
        <v>4</v>
      </c>
      <c r="K31" s="334" t="s">
        <v>376</v>
      </c>
      <c r="L31" s="348">
        <f>VGF!B234</f>
        <v>13222965.570177559</v>
      </c>
      <c r="M31" s="345" t="s">
        <v>680</v>
      </c>
      <c r="N31" s="386" t="s">
        <v>601</v>
      </c>
    </row>
    <row r="32" spans="2:17" ht="52">
      <c r="B32" s="345">
        <v>5</v>
      </c>
      <c r="C32" s="334" t="s">
        <v>377</v>
      </c>
      <c r="D32" s="349">
        <f>'9.1 Financial indiacators'!D101</f>
        <v>5.1944860297133921</v>
      </c>
      <c r="E32" s="345" t="s">
        <v>373</v>
      </c>
      <c r="F32" s="354" t="s">
        <v>711</v>
      </c>
      <c r="G32" s="353"/>
      <c r="J32" s="345">
        <v>5</v>
      </c>
      <c r="K32" s="334" t="s">
        <v>377</v>
      </c>
      <c r="L32" s="349">
        <f>VGF!C262</f>
        <v>3.6003862806226841</v>
      </c>
      <c r="M32" s="345" t="s">
        <v>373</v>
      </c>
      <c r="N32" s="386" t="s">
        <v>711</v>
      </c>
    </row>
    <row r="33" spans="2:14" ht="43.5">
      <c r="B33" s="345">
        <v>6</v>
      </c>
      <c r="C33" s="350" t="s">
        <v>378</v>
      </c>
      <c r="D33" s="349">
        <f>'9.1 Financial indiacators'!C116</f>
        <v>2.8138504570466223</v>
      </c>
      <c r="E33" s="351" t="s">
        <v>373</v>
      </c>
      <c r="F33" s="354" t="s">
        <v>603</v>
      </c>
      <c r="G33" s="353"/>
      <c r="J33" s="345">
        <v>6</v>
      </c>
      <c r="K33" s="350" t="s">
        <v>378</v>
      </c>
      <c r="L33" s="349">
        <f>VGF!B280</f>
        <v>4.041397182414828</v>
      </c>
      <c r="M33" s="351" t="s">
        <v>373</v>
      </c>
      <c r="N33" s="386" t="s">
        <v>603</v>
      </c>
    </row>
  </sheetData>
  <mergeCells count="15">
    <mergeCell ref="B26:F26"/>
    <mergeCell ref="B12:C12"/>
    <mergeCell ref="B22:C22"/>
    <mergeCell ref="B2:F2"/>
    <mergeCell ref="B16:F16"/>
    <mergeCell ref="B24:F24"/>
    <mergeCell ref="A14:F14"/>
    <mergeCell ref="J22:K22"/>
    <mergeCell ref="J24:N24"/>
    <mergeCell ref="J26:N26"/>
    <mergeCell ref="J1:N1"/>
    <mergeCell ref="J2:N2"/>
    <mergeCell ref="J12:K12"/>
    <mergeCell ref="I14:N14"/>
    <mergeCell ref="J16:N16"/>
  </mergeCells>
  <conditionalFormatting sqref="D23">
    <cfRule type="cellIs" dxfId="4" priority="3" operator="greaterThan">
      <formula>0</formula>
    </cfRule>
  </conditionalFormatting>
  <conditionalFormatting sqref="L23">
    <cfRule type="cellIs" dxfId="3" priority="1" operator="greaterThan">
      <formula>0</formula>
    </cfRule>
  </conditionalFormatting>
  <pageMargins left="0.7" right="0.7" top="0.75" bottom="0.75" header="0.3" footer="0.3"/>
  <pageSetup scale="8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0CFDC-30E0-4CFA-B024-00A9A11AB8F7}">
  <dimension ref="A2:I282"/>
  <sheetViews>
    <sheetView topLeftCell="A266" workbookViewId="0">
      <selection activeCell="B280" sqref="B280"/>
    </sheetView>
  </sheetViews>
  <sheetFormatPr defaultRowHeight="14.5"/>
  <cols>
    <col min="1" max="1" width="39.36328125" bestFit="1" customWidth="1"/>
    <col min="2" max="2" width="16.7265625" bestFit="1" customWidth="1"/>
    <col min="3" max="3" width="15.7265625" bestFit="1" customWidth="1"/>
    <col min="4" max="4" width="15.08984375" bestFit="1" customWidth="1"/>
    <col min="5" max="5" width="17.90625" bestFit="1" customWidth="1"/>
    <col min="6" max="8" width="15.08984375" bestFit="1" customWidth="1"/>
    <col min="9" max="9" width="11.26953125" bestFit="1" customWidth="1"/>
  </cols>
  <sheetData>
    <row r="2" spans="1:8" ht="17.5">
      <c r="A2" s="473" t="s">
        <v>556</v>
      </c>
      <c r="B2" s="473"/>
      <c r="C2" s="473"/>
      <c r="D2" s="473"/>
      <c r="E2" s="473"/>
      <c r="F2" s="473"/>
      <c r="G2" s="473"/>
      <c r="H2" s="473"/>
    </row>
    <row r="4" spans="1:8">
      <c r="B4" s="4"/>
      <c r="C4" s="4"/>
      <c r="D4" s="4"/>
      <c r="E4" s="4"/>
      <c r="F4" s="4"/>
    </row>
    <row r="5" spans="1:8">
      <c r="A5" s="144" t="s">
        <v>0</v>
      </c>
      <c r="B5" s="116" t="s">
        <v>2</v>
      </c>
      <c r="C5" s="116" t="s">
        <v>3</v>
      </c>
      <c r="D5" s="116" t="s">
        <v>4</v>
      </c>
      <c r="E5" s="116" t="s">
        <v>5</v>
      </c>
      <c r="F5" s="116" t="s">
        <v>6</v>
      </c>
      <c r="G5" s="116" t="s">
        <v>169</v>
      </c>
      <c r="H5" s="116" t="s">
        <v>168</v>
      </c>
    </row>
    <row r="6" spans="1:8">
      <c r="A6" s="93" t="s">
        <v>127</v>
      </c>
      <c r="B6" s="91"/>
      <c r="C6" s="91"/>
      <c r="D6" s="91"/>
      <c r="E6" s="91"/>
      <c r="F6" s="91"/>
      <c r="G6" s="91"/>
      <c r="H6" s="91"/>
    </row>
    <row r="7" spans="1:8">
      <c r="A7" s="91"/>
      <c r="B7" s="91"/>
      <c r="C7" s="91"/>
      <c r="D7" s="91"/>
      <c r="E7" s="91"/>
      <c r="F7" s="91"/>
      <c r="G7" s="91"/>
      <c r="H7" s="91"/>
    </row>
    <row r="8" spans="1:8">
      <c r="A8" s="91" t="s">
        <v>501</v>
      </c>
      <c r="B8" s="92">
        <f>'12.Facility 1 - Trading'!D185</f>
        <v>58502886.999999993</v>
      </c>
      <c r="C8" s="92">
        <f>'12.Facility 1 - Trading'!E185</f>
        <v>70304651.418750003</v>
      </c>
      <c r="D8" s="92">
        <f>'12.Facility 1 - Trading'!F185</f>
        <v>82039565.849062502</v>
      </c>
      <c r="E8" s="92">
        <f>'12.Facility 1 - Trading'!G185</f>
        <v>94772210.093859389</v>
      </c>
      <c r="F8" s="92">
        <f>'12.Facility 1 - Trading'!H185</f>
        <v>108573019.84851332</v>
      </c>
      <c r="G8" s="92">
        <f>'12.Facility 1 - Trading'!I185</f>
        <v>123516980.05339798</v>
      </c>
      <c r="H8" s="92">
        <f>'12.Facility 1 - Trading'!J185</f>
        <v>139683903.72914979</v>
      </c>
    </row>
    <row r="9" spans="1:8">
      <c r="A9" s="91" t="s">
        <v>502</v>
      </c>
      <c r="B9" s="92">
        <f>'13.Facility 2 Grain Processing'!D146</f>
        <v>0</v>
      </c>
      <c r="C9" s="92">
        <f>'13.Facility 2 Grain Processing'!E146</f>
        <v>0</v>
      </c>
      <c r="D9" s="92">
        <f>'13.Facility 2 Grain Processing'!F146</f>
        <v>0</v>
      </c>
      <c r="E9" s="92">
        <f>'13.Facility 2 Grain Processing'!G146</f>
        <v>0</v>
      </c>
      <c r="F9" s="92">
        <f>'13.Facility 2 Grain Processing'!H146</f>
        <v>0</v>
      </c>
      <c r="G9" s="92">
        <f>'13.Facility 2 Grain Processing'!I146</f>
        <v>0</v>
      </c>
      <c r="H9" s="92">
        <f>'13.Facility 2 Grain Processing'!J146</f>
        <v>0</v>
      </c>
    </row>
    <row r="10" spans="1:8">
      <c r="A10" s="91" t="s">
        <v>503</v>
      </c>
      <c r="B10" s="92">
        <f>'14. Facility 3 Warehouse'!D23</f>
        <v>2304000</v>
      </c>
      <c r="C10" s="92">
        <f>'14. Facility 3 Warehouse'!E23</f>
        <v>2570400.0000000005</v>
      </c>
      <c r="D10" s="92">
        <f>'14. Facility 3 Warehouse'!F23</f>
        <v>2857680.0000000005</v>
      </c>
      <c r="E10" s="92">
        <f>'14. Facility 3 Warehouse'!G23</f>
        <v>3167262.0000000014</v>
      </c>
      <c r="F10" s="92">
        <f>'14. Facility 3 Warehouse'!H23</f>
        <v>3500658.0000000019</v>
      </c>
      <c r="G10" s="92">
        <f>'14. Facility 3 Warehouse'!I23</f>
        <v>3675690.9000000022</v>
      </c>
      <c r="H10" s="92">
        <f>'14. Facility 3 Warehouse'!J23</f>
        <v>3859475.4450000026</v>
      </c>
    </row>
    <row r="11" spans="1:8">
      <c r="A11" s="91" t="s">
        <v>504</v>
      </c>
      <c r="B11" s="92">
        <f>'15. Facility 4 Custom Hiring'!E37</f>
        <v>0</v>
      </c>
      <c r="C11" s="92">
        <f>'15. Facility 4 Custom Hiring'!F37</f>
        <v>0</v>
      </c>
      <c r="D11" s="92">
        <f>'15. Facility 4 Custom Hiring'!G37</f>
        <v>0</v>
      </c>
      <c r="E11" s="92">
        <f>'15. Facility 4 Custom Hiring'!H37</f>
        <v>0</v>
      </c>
      <c r="F11" s="92">
        <f>'15. Facility 4 Custom Hiring'!I37</f>
        <v>0</v>
      </c>
      <c r="G11" s="92">
        <f>'15. Facility 4 Custom Hiring'!J37</f>
        <v>0</v>
      </c>
      <c r="H11" s="92">
        <f>'15. Facility 4 Custom Hiring'!K37</f>
        <v>0</v>
      </c>
    </row>
    <row r="12" spans="1:8">
      <c r="A12" s="91" t="s">
        <v>500</v>
      </c>
      <c r="B12" s="92">
        <f>'16.Facility 5 Agri Input'!D191</f>
        <v>0</v>
      </c>
      <c r="C12" s="92">
        <f>'16.Facility 5 Agri Input'!E191</f>
        <v>0</v>
      </c>
      <c r="D12" s="92">
        <f>'16.Facility 5 Agri Input'!F191</f>
        <v>0</v>
      </c>
      <c r="E12" s="92">
        <f>'16.Facility 5 Agri Input'!G191</f>
        <v>0</v>
      </c>
      <c r="F12" s="92">
        <f>'16.Facility 5 Agri Input'!H191</f>
        <v>0</v>
      </c>
      <c r="G12" s="92">
        <f>'16.Facility 5 Agri Input'!I191</f>
        <v>0</v>
      </c>
      <c r="H12" s="92">
        <f>'16.Facility 5 Agri Input'!J191</f>
        <v>0</v>
      </c>
    </row>
    <row r="13" spans="1:8">
      <c r="A13" s="91" t="s">
        <v>525</v>
      </c>
      <c r="B13" s="92">
        <f>'17.Facility 6 Horti Processing '!D159</f>
        <v>0</v>
      </c>
      <c r="C13" s="92">
        <f>'17.Facility 6 Horti Processing '!E159</f>
        <v>0</v>
      </c>
      <c r="D13" s="92">
        <f>'17.Facility 6 Horti Processing '!F159</f>
        <v>0</v>
      </c>
      <c r="E13" s="92">
        <f>'17.Facility 6 Horti Processing '!G159</f>
        <v>0</v>
      </c>
      <c r="F13" s="92">
        <f>'17.Facility 6 Horti Processing '!H159</f>
        <v>0</v>
      </c>
      <c r="G13" s="92">
        <f>'17.Facility 6 Horti Processing '!I159</f>
        <v>0</v>
      </c>
      <c r="H13" s="92">
        <f>'17.Facility 6 Horti Processing '!J159</f>
        <v>0</v>
      </c>
    </row>
    <row r="14" spans="1:8">
      <c r="A14" s="91"/>
      <c r="B14" s="92"/>
      <c r="C14" s="92"/>
      <c r="D14" s="92"/>
      <c r="E14" s="92"/>
      <c r="F14" s="92"/>
      <c r="G14" s="92"/>
      <c r="H14" s="92"/>
    </row>
    <row r="15" spans="1:8">
      <c r="A15" s="93" t="s">
        <v>144</v>
      </c>
      <c r="B15" s="111">
        <f>SUM(B8:B14)</f>
        <v>60806886.999999993</v>
      </c>
      <c r="C15" s="111">
        <f t="shared" ref="C15:H15" si="0">SUM(C8:C14)</f>
        <v>72875051.418750003</v>
      </c>
      <c r="D15" s="111">
        <f t="shared" si="0"/>
        <v>84897245.849062502</v>
      </c>
      <c r="E15" s="111">
        <f t="shared" si="0"/>
        <v>97939472.093859389</v>
      </c>
      <c r="F15" s="111">
        <f t="shared" si="0"/>
        <v>112073677.84851332</v>
      </c>
      <c r="G15" s="111">
        <f t="shared" si="0"/>
        <v>127192670.95339799</v>
      </c>
      <c r="H15" s="111">
        <f t="shared" si="0"/>
        <v>143543379.17414978</v>
      </c>
    </row>
    <row r="16" spans="1:8">
      <c r="A16" s="91"/>
      <c r="B16" s="92"/>
      <c r="C16" s="92"/>
      <c r="D16" s="92"/>
      <c r="E16" s="92"/>
      <c r="F16" s="92"/>
      <c r="G16" s="92"/>
      <c r="H16" s="92"/>
    </row>
    <row r="17" spans="1:8">
      <c r="A17" s="93" t="s">
        <v>307</v>
      </c>
      <c r="B17" s="92"/>
      <c r="C17" s="92"/>
      <c r="D17" s="92"/>
      <c r="E17" s="92"/>
      <c r="F17" s="92"/>
      <c r="G17" s="92"/>
      <c r="H17" s="92"/>
    </row>
    <row r="18" spans="1:8">
      <c r="A18" s="91" t="str">
        <f t="shared" ref="A18:A23" si="1">A8</f>
        <v>Faclitiy 1 - Cleaning &amp; Grading</v>
      </c>
      <c r="B18" s="92">
        <f>'12.Facility 1 - Trading'!D203</f>
        <v>53153563.92946133</v>
      </c>
      <c r="C18" s="92">
        <f>'12.Facility 1 - Trading'!E203</f>
        <v>63872414.002481535</v>
      </c>
      <c r="D18" s="92">
        <f>'12.Facility 1 - Trading'!F203</f>
        <v>74533635.849302709</v>
      </c>
      <c r="E18" s="92">
        <f>'12.Facility 1 - Trading'!G203</f>
        <v>86101298.845799789</v>
      </c>
      <c r="F18" s="92">
        <f>'12.Facility 1 - Trading'!H203</f>
        <v>98639394.052323326</v>
      </c>
      <c r="G18" s="92">
        <f>'12.Facility 1 - Trading'!I203</f>
        <v>112216045.53238472</v>
      </c>
      <c r="H18" s="92">
        <f>'12.Facility 1 - Trading'!J203</f>
        <v>126903763.67532144</v>
      </c>
    </row>
    <row r="19" spans="1:8">
      <c r="A19" s="91" t="str">
        <f t="shared" si="1"/>
        <v>Faclitiy 2 - Processing Unit- Dal Mill</v>
      </c>
      <c r="B19" s="92">
        <f>'13.Facility 2 Grain Processing'!D167</f>
        <v>0</v>
      </c>
      <c r="C19" s="92">
        <f>'13.Facility 2 Grain Processing'!E167</f>
        <v>0</v>
      </c>
      <c r="D19" s="92">
        <f>'13.Facility 2 Grain Processing'!F167</f>
        <v>0</v>
      </c>
      <c r="E19" s="92">
        <f>'13.Facility 2 Grain Processing'!G167</f>
        <v>0</v>
      </c>
      <c r="F19" s="92">
        <f>'13.Facility 2 Grain Processing'!H167</f>
        <v>0</v>
      </c>
      <c r="G19" s="92">
        <f>'13.Facility 2 Grain Processing'!I167</f>
        <v>0</v>
      </c>
      <c r="H19" s="92">
        <f>'13.Facility 2 Grain Processing'!J167</f>
        <v>0</v>
      </c>
    </row>
    <row r="20" spans="1:8">
      <c r="A20" s="91" t="str">
        <f t="shared" si="1"/>
        <v>Faclitiy 3 - Warehouse</v>
      </c>
      <c r="B20" s="92">
        <f>'14. Facility 3 Warehouse'!D34</f>
        <v>627200</v>
      </c>
      <c r="C20" s="92">
        <f>'14. Facility 3 Warehouse'!E34</f>
        <v>666120</v>
      </c>
      <c r="D20" s="92">
        <f>'14. Facility 3 Warehouse'!F34</f>
        <v>707364</v>
      </c>
      <c r="E20" s="92">
        <f>'14. Facility 3 Warehouse'!G34</f>
        <v>751067.10000000021</v>
      </c>
      <c r="F20" s="92">
        <f>'14. Facility 3 Warehouse'!H34</f>
        <v>797372.10000000021</v>
      </c>
      <c r="G20" s="92">
        <f>'14. Facility 3 Warehouse'!I34</f>
        <v>837240.70500000031</v>
      </c>
      <c r="H20" s="92">
        <f>'14. Facility 3 Warehouse'!J34</f>
        <v>879102.74025000038</v>
      </c>
    </row>
    <row r="21" spans="1:8">
      <c r="A21" s="91" t="str">
        <f t="shared" si="1"/>
        <v xml:space="preserve">Faclitiy 4 - Custom Hiring </v>
      </c>
      <c r="B21" s="92">
        <f>'15. Facility 4 Custom Hiring'!E47</f>
        <v>0</v>
      </c>
      <c r="C21" s="92">
        <f>'15. Facility 4 Custom Hiring'!F47</f>
        <v>0</v>
      </c>
      <c r="D21" s="92">
        <f>'15. Facility 4 Custom Hiring'!G47</f>
        <v>0</v>
      </c>
      <c r="E21" s="92">
        <f>'15. Facility 4 Custom Hiring'!H47</f>
        <v>0</v>
      </c>
      <c r="F21" s="92">
        <f>'15. Facility 4 Custom Hiring'!I47</f>
        <v>0</v>
      </c>
      <c r="G21" s="92">
        <f>'15. Facility 4 Custom Hiring'!J47</f>
        <v>0</v>
      </c>
      <c r="H21" s="92">
        <f>'15. Facility 4 Custom Hiring'!K47</f>
        <v>0</v>
      </c>
    </row>
    <row r="22" spans="1:8">
      <c r="A22" s="91" t="str">
        <f t="shared" si="1"/>
        <v>Faclitiy 5 - Agri Input Centre</v>
      </c>
      <c r="B22" s="92">
        <f>'16.Facility 5 Agri Input'!D263</f>
        <v>0</v>
      </c>
      <c r="C22" s="92">
        <f>'16.Facility 5 Agri Input'!E263</f>
        <v>0</v>
      </c>
      <c r="D22" s="92">
        <f>'16.Facility 5 Agri Input'!F263</f>
        <v>0</v>
      </c>
      <c r="E22" s="92">
        <f>'16.Facility 5 Agri Input'!G263</f>
        <v>0</v>
      </c>
      <c r="F22" s="92">
        <f>'16.Facility 5 Agri Input'!H263</f>
        <v>0</v>
      </c>
      <c r="G22" s="92">
        <f>'16.Facility 5 Agri Input'!I263</f>
        <v>0</v>
      </c>
      <c r="H22" s="92">
        <f>'16.Facility 5 Agri Input'!J263</f>
        <v>0</v>
      </c>
    </row>
    <row r="23" spans="1:8">
      <c r="A23" s="91" t="str">
        <f t="shared" si="1"/>
        <v>Facility 6 - Processing Unit - Horti Commodity</v>
      </c>
      <c r="B23" s="92">
        <f>'17.Facility 6 Horti Processing '!D177</f>
        <v>0</v>
      </c>
      <c r="C23" s="92">
        <f>'17.Facility 6 Horti Processing '!E177</f>
        <v>0</v>
      </c>
      <c r="D23" s="92">
        <f>'17.Facility 6 Horti Processing '!F177</f>
        <v>0</v>
      </c>
      <c r="E23" s="92">
        <f>'17.Facility 6 Horti Processing '!G177</f>
        <v>0</v>
      </c>
      <c r="F23" s="92">
        <f>'17.Facility 6 Horti Processing '!H177</f>
        <v>0</v>
      </c>
      <c r="G23" s="92">
        <f>'17.Facility 6 Horti Processing '!I177</f>
        <v>0</v>
      </c>
      <c r="H23" s="92">
        <f>'17.Facility 6 Horti Processing '!J177</f>
        <v>0</v>
      </c>
    </row>
    <row r="24" spans="1:8">
      <c r="A24" s="91"/>
      <c r="B24" s="92"/>
      <c r="C24" s="92"/>
      <c r="D24" s="92"/>
      <c r="E24" s="92"/>
      <c r="F24" s="92"/>
      <c r="G24" s="92"/>
      <c r="H24" s="92"/>
    </row>
    <row r="25" spans="1:8">
      <c r="A25" s="93" t="s">
        <v>314</v>
      </c>
      <c r="B25" s="111">
        <f>SUM(B18:B24)</f>
        <v>53780763.92946133</v>
      </c>
      <c r="C25" s="111">
        <f t="shared" ref="C25:H25" si="2">SUM(C18:C24)</f>
        <v>64538534.002481535</v>
      </c>
      <c r="D25" s="111">
        <f t="shared" si="2"/>
        <v>75240999.849302709</v>
      </c>
      <c r="E25" s="111">
        <f t="shared" si="2"/>
        <v>86852365.945799783</v>
      </c>
      <c r="F25" s="111">
        <f t="shared" si="2"/>
        <v>99436766.152323321</v>
      </c>
      <c r="G25" s="111">
        <f t="shared" si="2"/>
        <v>113053286.23738472</v>
      </c>
      <c r="H25" s="111">
        <f t="shared" si="2"/>
        <v>127782866.41557145</v>
      </c>
    </row>
    <row r="26" spans="1:8">
      <c r="A26" s="91"/>
      <c r="B26" s="92"/>
      <c r="C26" s="92"/>
      <c r="D26" s="92"/>
      <c r="E26" s="92"/>
      <c r="F26" s="92"/>
      <c r="G26" s="92"/>
      <c r="H26" s="92"/>
    </row>
    <row r="27" spans="1:8">
      <c r="A27" s="93" t="s">
        <v>306</v>
      </c>
      <c r="B27" s="92"/>
      <c r="C27" s="92"/>
      <c r="D27" s="92"/>
      <c r="E27" s="92"/>
      <c r="F27" s="92"/>
      <c r="G27" s="92"/>
      <c r="H27" s="92"/>
    </row>
    <row r="28" spans="1:8">
      <c r="A28" s="91" t="str">
        <f t="shared" ref="A28:A33" si="3">A18</f>
        <v>Faclitiy 1 - Cleaning &amp; Grading</v>
      </c>
      <c r="B28" s="92">
        <f>'12.Facility 1 - Trading'!D209</f>
        <v>144000</v>
      </c>
      <c r="C28" s="92">
        <f>'12.Facility 1 - Trading'!E209</f>
        <v>151200</v>
      </c>
      <c r="D28" s="92">
        <f>'12.Facility 1 - Trading'!F209</f>
        <v>158760</v>
      </c>
      <c r="E28" s="92">
        <f>'12.Facility 1 - Trading'!G209</f>
        <v>166698.00000000003</v>
      </c>
      <c r="F28" s="92">
        <f>'12.Facility 1 - Trading'!H209</f>
        <v>175032.90000000002</v>
      </c>
      <c r="G28" s="92">
        <f>'12.Facility 1 - Trading'!I209</f>
        <v>183784.54500000004</v>
      </c>
      <c r="H28" s="92">
        <f>'12.Facility 1 - Trading'!J209</f>
        <v>192973.77225000007</v>
      </c>
    </row>
    <row r="29" spans="1:8">
      <c r="A29" s="91" t="str">
        <f t="shared" si="3"/>
        <v>Faclitiy 2 - Processing Unit- Dal Mill</v>
      </c>
      <c r="B29" s="92">
        <f>'13.Facility 2 Grain Processing'!D174</f>
        <v>0</v>
      </c>
      <c r="C29" s="92">
        <f>'13.Facility 2 Grain Processing'!E174</f>
        <v>0</v>
      </c>
      <c r="D29" s="92">
        <f>'13.Facility 2 Grain Processing'!F174</f>
        <v>0</v>
      </c>
      <c r="E29" s="92">
        <f>'13.Facility 2 Grain Processing'!G174</f>
        <v>0</v>
      </c>
      <c r="F29" s="92">
        <f>'13.Facility 2 Grain Processing'!H174</f>
        <v>0</v>
      </c>
      <c r="G29" s="92">
        <f>'13.Facility 2 Grain Processing'!I174</f>
        <v>0</v>
      </c>
      <c r="H29" s="92">
        <f>'13.Facility 2 Grain Processing'!J174</f>
        <v>0</v>
      </c>
    </row>
    <row r="30" spans="1:8">
      <c r="A30" s="91" t="str">
        <f t="shared" si="3"/>
        <v>Faclitiy 3 - Warehouse</v>
      </c>
      <c r="B30" s="92">
        <f>'14. Facility 3 Warehouse'!D42</f>
        <v>144000</v>
      </c>
      <c r="C30" s="92">
        <f>'14. Facility 3 Warehouse'!E42</f>
        <v>151200</v>
      </c>
      <c r="D30" s="92">
        <f>'14. Facility 3 Warehouse'!F42</f>
        <v>158760</v>
      </c>
      <c r="E30" s="92">
        <f>'14. Facility 3 Warehouse'!G42</f>
        <v>166698.00000000003</v>
      </c>
      <c r="F30" s="92">
        <f>'14. Facility 3 Warehouse'!H42</f>
        <v>175032.90000000002</v>
      </c>
      <c r="G30" s="92">
        <f>'14. Facility 3 Warehouse'!I42</f>
        <v>183784.54500000004</v>
      </c>
      <c r="H30" s="92">
        <f>'14. Facility 3 Warehouse'!J42</f>
        <v>192973.77225000004</v>
      </c>
    </row>
    <row r="31" spans="1:8">
      <c r="A31" s="91" t="str">
        <f t="shared" si="3"/>
        <v xml:space="preserve">Faclitiy 4 - Custom Hiring </v>
      </c>
      <c r="B31" s="92">
        <f>'15. Facility 4 Custom Hiring'!E52</f>
        <v>0</v>
      </c>
      <c r="C31" s="92">
        <f>'15. Facility 4 Custom Hiring'!F52</f>
        <v>0</v>
      </c>
      <c r="D31" s="92">
        <f>'15. Facility 4 Custom Hiring'!G52</f>
        <v>0</v>
      </c>
      <c r="E31" s="92">
        <f>'15. Facility 4 Custom Hiring'!H52</f>
        <v>0</v>
      </c>
      <c r="F31" s="92">
        <f>'15. Facility 4 Custom Hiring'!I52</f>
        <v>0</v>
      </c>
      <c r="G31" s="92">
        <f>'15. Facility 4 Custom Hiring'!J52</f>
        <v>0</v>
      </c>
      <c r="H31" s="92">
        <f>'15. Facility 4 Custom Hiring'!K52</f>
        <v>0</v>
      </c>
    </row>
    <row r="32" spans="1:8">
      <c r="A32" s="91" t="str">
        <f t="shared" si="3"/>
        <v>Faclitiy 5 - Agri Input Centre</v>
      </c>
      <c r="B32" s="92">
        <f>'16.Facility 5 Agri Input'!D274</f>
        <v>0</v>
      </c>
      <c r="C32" s="92">
        <f>'16.Facility 5 Agri Input'!E274</f>
        <v>0</v>
      </c>
      <c r="D32" s="92">
        <f>'16.Facility 5 Agri Input'!F274</f>
        <v>0</v>
      </c>
      <c r="E32" s="92">
        <f>'16.Facility 5 Agri Input'!G274</f>
        <v>0</v>
      </c>
      <c r="F32" s="92">
        <f>'16.Facility 5 Agri Input'!H274</f>
        <v>0</v>
      </c>
      <c r="G32" s="92">
        <f>'16.Facility 5 Agri Input'!I274</f>
        <v>0</v>
      </c>
      <c r="H32" s="92">
        <f>'16.Facility 5 Agri Input'!J274</f>
        <v>0</v>
      </c>
    </row>
    <row r="33" spans="1:8">
      <c r="A33" s="91" t="str">
        <f t="shared" si="3"/>
        <v>Facility 6 - Processing Unit - Horti Commodity</v>
      </c>
      <c r="B33" s="92">
        <f>'17.Facility 6 Horti Processing '!D185</f>
        <v>0</v>
      </c>
      <c r="C33" s="92">
        <f>'17.Facility 6 Horti Processing '!E185</f>
        <v>0</v>
      </c>
      <c r="D33" s="92">
        <f>'17.Facility 6 Horti Processing '!F185</f>
        <v>0</v>
      </c>
      <c r="E33" s="92">
        <f>'17.Facility 6 Horti Processing '!G185</f>
        <v>0</v>
      </c>
      <c r="F33" s="92">
        <f>'17.Facility 6 Horti Processing '!H185</f>
        <v>0</v>
      </c>
      <c r="G33" s="92">
        <f>'17.Facility 6 Horti Processing '!I185</f>
        <v>0</v>
      </c>
      <c r="H33" s="92">
        <f>'17.Facility 6 Horti Processing '!J185</f>
        <v>0</v>
      </c>
    </row>
    <row r="34" spans="1:8">
      <c r="A34" s="91"/>
      <c r="B34" s="92"/>
      <c r="C34" s="92"/>
      <c r="D34" s="92"/>
      <c r="E34" s="92"/>
      <c r="F34" s="92"/>
      <c r="G34" s="92"/>
      <c r="H34" s="92"/>
    </row>
    <row r="35" spans="1:8">
      <c r="A35" s="91" t="s">
        <v>9</v>
      </c>
      <c r="B35" s="92">
        <f>'3.Other Exp &amp; Taxes'!E23</f>
        <v>1265200</v>
      </c>
      <c r="C35" s="92">
        <f>'3.Other Exp &amp; Taxes'!F23</f>
        <v>1328460</v>
      </c>
      <c r="D35" s="92">
        <f>'3.Other Exp &amp; Taxes'!G23</f>
        <v>1394883</v>
      </c>
      <c r="E35" s="92">
        <f>'3.Other Exp &amp; Taxes'!H23</f>
        <v>1464627.1500000001</v>
      </c>
      <c r="F35" s="92">
        <f>'3.Other Exp &amp; Taxes'!I23</f>
        <v>1537858.5075000001</v>
      </c>
      <c r="G35" s="92">
        <f>'3.Other Exp &amp; Taxes'!J23</f>
        <v>1614751.4328750004</v>
      </c>
      <c r="H35" s="92">
        <f>'3.Other Exp &amp; Taxes'!K23</f>
        <v>1695489.0045187508</v>
      </c>
    </row>
    <row r="36" spans="1:8">
      <c r="A36" s="93" t="s">
        <v>318</v>
      </c>
      <c r="B36" s="111">
        <f t="shared" ref="B36:H36" si="4">SUM(B28:B35)</f>
        <v>1553200</v>
      </c>
      <c r="C36" s="111">
        <f t="shared" si="4"/>
        <v>1630860</v>
      </c>
      <c r="D36" s="111">
        <f t="shared" si="4"/>
        <v>1712403</v>
      </c>
      <c r="E36" s="111">
        <f t="shared" si="4"/>
        <v>1798023.1500000001</v>
      </c>
      <c r="F36" s="111">
        <f t="shared" si="4"/>
        <v>1887924.3075000001</v>
      </c>
      <c r="G36" s="111">
        <f t="shared" si="4"/>
        <v>1982320.5228750005</v>
      </c>
      <c r="H36" s="111">
        <f t="shared" si="4"/>
        <v>2081436.5490187509</v>
      </c>
    </row>
    <row r="37" spans="1:8">
      <c r="A37" s="91"/>
      <c r="B37" s="92"/>
      <c r="C37" s="92"/>
      <c r="D37" s="92"/>
      <c r="E37" s="92"/>
      <c r="F37" s="92"/>
      <c r="G37" s="92"/>
      <c r="H37" s="92"/>
    </row>
    <row r="38" spans="1:8">
      <c r="A38" s="93" t="s">
        <v>323</v>
      </c>
      <c r="B38" s="111">
        <f t="shared" ref="B38:H38" si="5">B25+B36</f>
        <v>55333963.92946133</v>
      </c>
      <c r="C38" s="111">
        <f t="shared" si="5"/>
        <v>66169394.002481535</v>
      </c>
      <c r="D38" s="111">
        <f t="shared" si="5"/>
        <v>76953402.849302709</v>
      </c>
      <c r="E38" s="111">
        <f t="shared" si="5"/>
        <v>88650389.095799789</v>
      </c>
      <c r="F38" s="111">
        <f t="shared" si="5"/>
        <v>101324690.45982333</v>
      </c>
      <c r="G38" s="111">
        <f t="shared" si="5"/>
        <v>115035606.76025972</v>
      </c>
      <c r="H38" s="111">
        <f t="shared" si="5"/>
        <v>129864302.96459021</v>
      </c>
    </row>
    <row r="39" spans="1:8">
      <c r="A39" s="91"/>
      <c r="B39" s="92"/>
      <c r="C39" s="92"/>
      <c r="D39" s="92"/>
      <c r="E39" s="92"/>
      <c r="F39" s="92"/>
      <c r="G39" s="92"/>
      <c r="H39" s="92"/>
    </row>
    <row r="40" spans="1:8">
      <c r="A40" s="93" t="s">
        <v>137</v>
      </c>
      <c r="B40" s="111">
        <f t="shared" ref="B40:H40" si="6">B15-B38</f>
        <v>5472923.0705386624</v>
      </c>
      <c r="C40" s="111">
        <f t="shared" si="6"/>
        <v>6705657.4162684679</v>
      </c>
      <c r="D40" s="111">
        <f t="shared" si="6"/>
        <v>7943842.9997597933</v>
      </c>
      <c r="E40" s="111">
        <f t="shared" si="6"/>
        <v>9289082.9980596006</v>
      </c>
      <c r="F40" s="111">
        <f t="shared" si="6"/>
        <v>10748987.388689995</v>
      </c>
      <c r="G40" s="111">
        <f t="shared" si="6"/>
        <v>12157064.193138272</v>
      </c>
      <c r="H40" s="111">
        <f t="shared" si="6"/>
        <v>13679076.209559575</v>
      </c>
    </row>
    <row r="41" spans="1:8">
      <c r="A41" s="91"/>
      <c r="B41" s="92"/>
      <c r="C41" s="92"/>
      <c r="D41" s="92"/>
      <c r="E41" s="92"/>
      <c r="F41" s="92"/>
      <c r="G41" s="92"/>
      <c r="H41" s="92"/>
    </row>
    <row r="42" spans="1:8">
      <c r="A42" s="91" t="s">
        <v>17</v>
      </c>
      <c r="B42" s="92">
        <f>'3.Other Exp &amp; Taxes'!C66</f>
        <v>1057184.3239</v>
      </c>
      <c r="C42" s="92">
        <f>'3.Other Exp &amp; Taxes'!D66</f>
        <v>1057184.3239</v>
      </c>
      <c r="D42" s="92">
        <f>'3.Other Exp &amp; Taxes'!E66</f>
        <v>1057184.3239</v>
      </c>
      <c r="E42" s="92">
        <f>'3.Other Exp &amp; Taxes'!F66</f>
        <v>1057184.3239</v>
      </c>
      <c r="F42" s="92">
        <f>'3.Other Exp &amp; Taxes'!G66</f>
        <v>1057184.3239</v>
      </c>
      <c r="G42" s="92">
        <f>'3.Other Exp &amp; Taxes'!H66</f>
        <v>1057184.3239</v>
      </c>
      <c r="H42" s="92">
        <f>'3.Other Exp &amp; Taxes'!I66</f>
        <v>1057184.3239</v>
      </c>
    </row>
    <row r="43" spans="1:8">
      <c r="A43" s="91" t="s">
        <v>138</v>
      </c>
      <c r="B43" s="92">
        <f>'3.Other Exp &amp; Taxes'!C87</f>
        <v>24000</v>
      </c>
      <c r="C43" s="92">
        <f>'3.Other Exp &amp; Taxes'!D87</f>
        <v>24000</v>
      </c>
      <c r="D43" s="92">
        <f>'3.Other Exp &amp; Taxes'!E87</f>
        <v>24000</v>
      </c>
      <c r="E43" s="92">
        <f>'3.Other Exp &amp; Taxes'!F87</f>
        <v>24000</v>
      </c>
      <c r="F43" s="92">
        <f>'3.Other Exp &amp; Taxes'!G87</f>
        <v>24000</v>
      </c>
      <c r="G43" s="92">
        <f>'3.Other Exp &amp; Taxes'!H87</f>
        <v>0</v>
      </c>
      <c r="H43" s="92">
        <f>'3.Other Exp &amp; Taxes'!I87</f>
        <v>0</v>
      </c>
    </row>
    <row r="44" spans="1:8">
      <c r="A44" s="91"/>
      <c r="B44" s="92"/>
      <c r="C44" s="92"/>
      <c r="D44" s="92"/>
      <c r="E44" s="92"/>
      <c r="F44" s="92"/>
      <c r="G44" s="92"/>
      <c r="H44" s="92"/>
    </row>
    <row r="45" spans="1:8">
      <c r="A45" s="93" t="s">
        <v>139</v>
      </c>
      <c r="B45" s="111">
        <f>B40-B42-B43</f>
        <v>4391738.7466386622</v>
      </c>
      <c r="C45" s="111">
        <f t="shared" ref="C45:H45" si="7">C40-C42-C43</f>
        <v>5624473.0923684677</v>
      </c>
      <c r="D45" s="111">
        <f t="shared" si="7"/>
        <v>6862658.6758597931</v>
      </c>
      <c r="E45" s="111">
        <f t="shared" si="7"/>
        <v>8207898.6741596004</v>
      </c>
      <c r="F45" s="111">
        <f t="shared" si="7"/>
        <v>9667803.0647899956</v>
      </c>
      <c r="G45" s="111">
        <f t="shared" si="7"/>
        <v>11099879.869238272</v>
      </c>
      <c r="H45" s="111">
        <f t="shared" si="7"/>
        <v>12621891.885659575</v>
      </c>
    </row>
    <row r="46" spans="1:8">
      <c r="A46" s="91"/>
      <c r="B46" s="92"/>
      <c r="C46" s="92"/>
      <c r="D46" s="92"/>
      <c r="E46" s="92"/>
      <c r="F46" s="92"/>
      <c r="G46" s="92"/>
      <c r="H46" s="92"/>
    </row>
    <row r="47" spans="1:8">
      <c r="A47" s="91" t="s">
        <v>706</v>
      </c>
      <c r="B47" s="92">
        <f>SUM(D76:D87)+'8.Cash Flow '!C29</f>
        <v>1767439.8496744051</v>
      </c>
      <c r="C47" s="92">
        <f>SUM(D88:D99)+'8.Cash Flow '!D29</f>
        <v>1746163.7443811097</v>
      </c>
      <c r="D47" s="92">
        <f>SUM(D100:D111)+'8.Cash Flow '!E29</f>
        <v>1610683.2905230336</v>
      </c>
      <c r="E47" s="92">
        <f>SUM(D112:D123)+'8.Cash Flow '!F29</f>
        <v>1455692.4504843617</v>
      </c>
      <c r="F47" s="92">
        <f>SUM(D124:D135)+'8.Cash Flow '!G29</f>
        <v>1278450.9238050338</v>
      </c>
      <c r="G47" s="92">
        <f>SUM(D136:D147)+'8.Cash Flow '!H29</f>
        <v>1075448.2936034396</v>
      </c>
      <c r="H47" s="92">
        <f>SUM(D148:D159)+'8.Cash Flow '!I29</f>
        <v>843521.14807283401</v>
      </c>
    </row>
    <row r="48" spans="1:8">
      <c r="A48" s="91"/>
      <c r="B48" s="92"/>
      <c r="C48" s="92"/>
      <c r="D48" s="92"/>
      <c r="E48" s="92"/>
      <c r="F48" s="92"/>
      <c r="G48" s="92"/>
      <c r="H48" s="92"/>
    </row>
    <row r="49" spans="1:8">
      <c r="A49" s="91" t="s">
        <v>25</v>
      </c>
      <c r="B49" s="92">
        <f>B45-B47</f>
        <v>2624298.8969642571</v>
      </c>
      <c r="C49" s="92">
        <f t="shared" ref="C49:H49" si="8">C45-C47</f>
        <v>3878309.347987358</v>
      </c>
      <c r="D49" s="92">
        <f t="shared" si="8"/>
        <v>5251975.3853367595</v>
      </c>
      <c r="E49" s="92">
        <f t="shared" si="8"/>
        <v>6752206.2236752389</v>
      </c>
      <c r="F49" s="92">
        <f t="shared" si="8"/>
        <v>8389352.1409849618</v>
      </c>
      <c r="G49" s="92">
        <f t="shared" si="8"/>
        <v>10024431.575634833</v>
      </c>
      <c r="H49" s="92">
        <f t="shared" si="8"/>
        <v>11778370.737586742</v>
      </c>
    </row>
    <row r="50" spans="1:8">
      <c r="A50" s="91" t="s">
        <v>26</v>
      </c>
      <c r="B50" s="388">
        <f>B61</f>
        <v>137120.49542470672</v>
      </c>
      <c r="C50" s="388">
        <f t="shared" ref="C50:H50" si="9">C61</f>
        <v>552268.42889071302</v>
      </c>
      <c r="D50" s="388">
        <f t="shared" si="9"/>
        <v>988551.48788155743</v>
      </c>
      <c r="E50" s="388">
        <f t="shared" si="9"/>
        <v>1448923.3216965622</v>
      </c>
      <c r="F50" s="388">
        <f t="shared" si="9"/>
        <v>1937092.57263014</v>
      </c>
      <c r="G50" s="388">
        <f t="shared" si="9"/>
        <v>2417819.4832739891</v>
      </c>
      <c r="H50" s="388">
        <f t="shared" si="9"/>
        <v>2923333.4622312468</v>
      </c>
    </row>
    <row r="51" spans="1:8">
      <c r="A51" s="93" t="s">
        <v>28</v>
      </c>
      <c r="B51" s="92">
        <f>B49-B50</f>
        <v>2487178.4015395502</v>
      </c>
      <c r="C51" s="92">
        <f>C49-C50</f>
        <v>3326040.919096645</v>
      </c>
      <c r="D51" s="92">
        <f>D49-D50</f>
        <v>4263423.8974552024</v>
      </c>
      <c r="E51" s="92">
        <f>E49-E50</f>
        <v>5303282.9019786771</v>
      </c>
      <c r="F51" s="92">
        <f>F49-F50</f>
        <v>6452259.5683548218</v>
      </c>
      <c r="G51" s="92">
        <f t="shared" ref="G51:H51" si="10">G49-G50</f>
        <v>7606612.0923608448</v>
      </c>
      <c r="H51" s="92">
        <f t="shared" si="10"/>
        <v>8855037.2753554955</v>
      </c>
    </row>
    <row r="53" spans="1:8">
      <c r="A53" s="380"/>
      <c r="B53" s="64"/>
      <c r="C53" s="64"/>
      <c r="D53" s="64"/>
      <c r="E53" s="64"/>
      <c r="F53" s="64"/>
      <c r="G53" s="64"/>
      <c r="H53" s="64"/>
    </row>
    <row r="54" spans="1:8" ht="17.5">
      <c r="A54" s="549" t="s">
        <v>552</v>
      </c>
      <c r="B54" s="549"/>
      <c r="C54" s="549"/>
      <c r="D54" s="549"/>
      <c r="E54" s="549"/>
      <c r="F54" s="549"/>
      <c r="G54" s="549"/>
      <c r="H54" s="549"/>
    </row>
    <row r="55" spans="1:8">
      <c r="A55" s="35"/>
      <c r="B55" s="64"/>
      <c r="C55" s="64"/>
      <c r="D55" s="64"/>
      <c r="E55" s="64"/>
      <c r="F55" s="64"/>
      <c r="G55" s="64"/>
      <c r="H55" s="64"/>
    </row>
    <row r="56" spans="1:8">
      <c r="A56" s="144" t="s">
        <v>0</v>
      </c>
      <c r="B56" s="116" t="s">
        <v>2</v>
      </c>
      <c r="C56" s="116" t="s">
        <v>3</v>
      </c>
      <c r="D56" s="116" t="s">
        <v>4</v>
      </c>
      <c r="E56" s="116" t="s">
        <v>5</v>
      </c>
      <c r="F56" s="116" t="s">
        <v>6</v>
      </c>
      <c r="G56" s="116" t="s">
        <v>169</v>
      </c>
      <c r="H56" s="116" t="s">
        <v>168</v>
      </c>
    </row>
    <row r="57" spans="1:8">
      <c r="A57" s="85" t="s">
        <v>224</v>
      </c>
      <c r="B57" s="147">
        <f>B49</f>
        <v>2624298.8969642571</v>
      </c>
      <c r="C57" s="147">
        <f t="shared" ref="C57:H57" si="11">C49</f>
        <v>3878309.347987358</v>
      </c>
      <c r="D57" s="147">
        <f t="shared" si="11"/>
        <v>5251975.3853367595</v>
      </c>
      <c r="E57" s="147">
        <f t="shared" si="11"/>
        <v>6752206.2236752389</v>
      </c>
      <c r="F57" s="147">
        <f t="shared" si="11"/>
        <v>8389352.1409849618</v>
      </c>
      <c r="G57" s="147">
        <f t="shared" si="11"/>
        <v>10024431.575634833</v>
      </c>
      <c r="H57" s="147">
        <f t="shared" si="11"/>
        <v>11778370.737586742</v>
      </c>
    </row>
    <row r="58" spans="1:8">
      <c r="A58" s="85" t="s">
        <v>225</v>
      </c>
      <c r="B58" s="147">
        <f>B42</f>
        <v>1057184.3239</v>
      </c>
      <c r="C58" s="147">
        <f t="shared" ref="C58:H58" si="12">C42</f>
        <v>1057184.3239</v>
      </c>
      <c r="D58" s="147">
        <f t="shared" si="12"/>
        <v>1057184.3239</v>
      </c>
      <c r="E58" s="147">
        <f t="shared" si="12"/>
        <v>1057184.3239</v>
      </c>
      <c r="F58" s="147">
        <f t="shared" si="12"/>
        <v>1057184.3239</v>
      </c>
      <c r="G58" s="147">
        <f t="shared" si="12"/>
        <v>1057184.3239</v>
      </c>
      <c r="H58" s="147">
        <f t="shared" si="12"/>
        <v>1057184.3239</v>
      </c>
    </row>
    <row r="59" spans="1:8">
      <c r="A59" s="85" t="s">
        <v>226</v>
      </c>
      <c r="B59" s="147">
        <f>'3.Other Exp &amp; Taxes'!K66</f>
        <v>3154096.7</v>
      </c>
      <c r="C59" s="147">
        <f>'3.Other Exp &amp; Taxes'!L66</f>
        <v>2811384.33</v>
      </c>
      <c r="D59" s="147">
        <f>'3.Other Exp &amp; Taxes'!M66</f>
        <v>2507038.6020000004</v>
      </c>
      <c r="E59" s="147">
        <f>'3.Other Exp &amp; Taxes'!N66</f>
        <v>2236608.5410500001</v>
      </c>
      <c r="F59" s="147">
        <f>'3.Other Exp &amp; Taxes'!O66</f>
        <v>1996180.4163075001</v>
      </c>
      <c r="G59" s="147">
        <f>'3.Other Exp &amp; Taxes'!P66</f>
        <v>1782310.1946348748</v>
      </c>
      <c r="H59" s="147">
        <f>'3.Other Exp &amp; Taxes'!Q66</f>
        <v>1591964.8221357937</v>
      </c>
    </row>
    <row r="60" spans="1:8">
      <c r="A60" s="85" t="s">
        <v>287</v>
      </c>
      <c r="B60" s="147">
        <f t="shared" ref="B60:H60" si="13">B57+B58-B59</f>
        <v>527386.52086425666</v>
      </c>
      <c r="C60" s="147">
        <f t="shared" si="13"/>
        <v>2124109.3418873576</v>
      </c>
      <c r="D60" s="147">
        <f t="shared" si="13"/>
        <v>3802121.1072367593</v>
      </c>
      <c r="E60" s="147">
        <f t="shared" si="13"/>
        <v>5572782.006525239</v>
      </c>
      <c r="F60" s="147">
        <f t="shared" si="13"/>
        <v>7450356.0485774614</v>
      </c>
      <c r="G60" s="147">
        <f t="shared" si="13"/>
        <v>9299305.7048999574</v>
      </c>
      <c r="H60" s="147">
        <f t="shared" si="13"/>
        <v>11243590.239350948</v>
      </c>
    </row>
    <row r="61" spans="1:8">
      <c r="A61" s="87" t="s">
        <v>227</v>
      </c>
      <c r="B61" s="387">
        <f>IF(B60&gt;0,B60*$B$64,"0")</f>
        <v>137120.49542470672</v>
      </c>
      <c r="C61" s="148">
        <f>IF(C60&gt;0,C60*$B$64,"0")</f>
        <v>552268.42889071302</v>
      </c>
      <c r="D61" s="148">
        <f>IF(D60&gt;0,D60*$B$64,"0")</f>
        <v>988551.48788155743</v>
      </c>
      <c r="E61" s="148">
        <f t="shared" ref="E61:H61" si="14">IF(E60&gt;0,E60*$B$64,"0")</f>
        <v>1448923.3216965622</v>
      </c>
      <c r="F61" s="148">
        <f t="shared" si="14"/>
        <v>1937092.57263014</v>
      </c>
      <c r="G61" s="148">
        <f t="shared" si="14"/>
        <v>2417819.4832739891</v>
      </c>
      <c r="H61" s="148">
        <f t="shared" si="14"/>
        <v>2923333.4622312468</v>
      </c>
    </row>
    <row r="62" spans="1:8">
      <c r="A62" s="36"/>
      <c r="B62" s="64"/>
      <c r="C62" s="64"/>
      <c r="D62" s="64"/>
      <c r="E62" s="64"/>
      <c r="F62" s="64"/>
      <c r="G62" s="64"/>
      <c r="H62" s="64"/>
    </row>
    <row r="63" spans="1:8">
      <c r="A63" s="36"/>
      <c r="B63" s="38"/>
      <c r="C63" s="38"/>
      <c r="D63" s="38"/>
      <c r="E63" s="38"/>
      <c r="F63" s="38"/>
      <c r="G63" s="38"/>
      <c r="H63" s="38"/>
    </row>
    <row r="64" spans="1:8">
      <c r="A64" s="39" t="s">
        <v>383</v>
      </c>
      <c r="B64" s="269">
        <v>0.26</v>
      </c>
      <c r="C64" s="38"/>
      <c r="D64" s="38"/>
      <c r="E64" s="38"/>
      <c r="F64" s="38"/>
      <c r="G64" s="38"/>
      <c r="H64" s="38"/>
    </row>
    <row r="65" spans="1:8">
      <c r="A65" s="64"/>
      <c r="B65" s="64"/>
      <c r="C65" s="64"/>
      <c r="D65" s="64"/>
      <c r="E65" s="64"/>
      <c r="F65" s="64"/>
      <c r="G65" s="64"/>
      <c r="H65" s="64"/>
    </row>
    <row r="66" spans="1:8">
      <c r="A66" s="488" t="s">
        <v>414</v>
      </c>
      <c r="B66" s="488"/>
      <c r="C66" s="488"/>
      <c r="D66" s="488"/>
      <c r="E66" s="488"/>
      <c r="F66" s="488"/>
      <c r="G66" s="488"/>
      <c r="H66" s="488"/>
    </row>
    <row r="68" spans="1:8" ht="17.5">
      <c r="A68" s="473" t="s">
        <v>553</v>
      </c>
      <c r="B68" s="473"/>
      <c r="C68" s="473"/>
      <c r="D68" s="473"/>
      <c r="E68" s="473"/>
      <c r="F68" s="473"/>
      <c r="G68" s="494"/>
    </row>
    <row r="69" spans="1:8" ht="14.5" customHeight="1">
      <c r="B69" s="379"/>
      <c r="C69" s="379"/>
      <c r="D69" s="379"/>
      <c r="E69" s="379"/>
      <c r="F69" s="379"/>
      <c r="G69" s="379"/>
    </row>
    <row r="70" spans="1:8">
      <c r="A70" s="90" t="s">
        <v>456</v>
      </c>
      <c r="B70" s="108">
        <f>'1.Project Cost and MOF'!M20</f>
        <v>13129946.279999999</v>
      </c>
      <c r="E70" s="90"/>
      <c r="F70" s="90"/>
      <c r="G70" s="90"/>
    </row>
    <row r="71" spans="1:8">
      <c r="A71" s="90" t="s">
        <v>457</v>
      </c>
      <c r="B71" s="263">
        <v>0.12</v>
      </c>
      <c r="E71" s="90"/>
      <c r="F71" s="90"/>
      <c r="G71" s="90"/>
    </row>
    <row r="72" spans="1:8" ht="14.5" customHeight="1">
      <c r="A72" s="90" t="s">
        <v>458</v>
      </c>
      <c r="B72" s="266">
        <v>7</v>
      </c>
      <c r="E72" s="90"/>
      <c r="F72" s="90"/>
      <c r="G72" s="90"/>
    </row>
    <row r="73" spans="1:8">
      <c r="A73" s="90" t="s">
        <v>459</v>
      </c>
      <c r="B73" s="266">
        <v>6</v>
      </c>
      <c r="E73" s="90"/>
      <c r="F73" s="90"/>
      <c r="G73" s="90"/>
    </row>
    <row r="74" spans="1:8">
      <c r="A74" s="90" t="s">
        <v>22</v>
      </c>
      <c r="B74" s="205">
        <f>PMT(B71/12,(B72-(B73/12))*12,-B70)</f>
        <v>243230.66681421117</v>
      </c>
      <c r="E74" s="205"/>
      <c r="F74" s="252"/>
      <c r="G74" s="90"/>
    </row>
    <row r="75" spans="1:8">
      <c r="A75" s="144" t="s">
        <v>288</v>
      </c>
      <c r="B75" s="206" t="s">
        <v>18</v>
      </c>
      <c r="C75" s="207" t="s">
        <v>19</v>
      </c>
      <c r="D75" s="207" t="s">
        <v>20</v>
      </c>
      <c r="E75" s="207" t="s">
        <v>21</v>
      </c>
      <c r="F75" s="207" t="s">
        <v>22</v>
      </c>
      <c r="G75" s="207" t="s">
        <v>23</v>
      </c>
    </row>
    <row r="76" spans="1:8">
      <c r="A76" s="91" t="s">
        <v>11</v>
      </c>
      <c r="B76" s="91" t="s">
        <v>52</v>
      </c>
      <c r="C76" s="92">
        <f>B70</f>
        <v>13129946.279999999</v>
      </c>
      <c r="D76" s="92">
        <f>C76*$B$71/12</f>
        <v>131299.46279999998</v>
      </c>
      <c r="E76" s="92">
        <f t="shared" ref="E76:E81" si="15">F76-D76</f>
        <v>0</v>
      </c>
      <c r="F76" s="92">
        <f>D76</f>
        <v>131299.46279999998</v>
      </c>
      <c r="G76" s="92">
        <f>C76-E76</f>
        <v>13129946.279999999</v>
      </c>
    </row>
    <row r="77" spans="1:8">
      <c r="A77" s="91"/>
      <c r="B77" s="91" t="s">
        <v>53</v>
      </c>
      <c r="C77" s="92">
        <f>G76</f>
        <v>13129946.279999999</v>
      </c>
      <c r="D77" s="92">
        <f t="shared" ref="D77:D140" si="16">C77*$B$71/12</f>
        <v>131299.46279999998</v>
      </c>
      <c r="E77" s="92">
        <f t="shared" si="15"/>
        <v>0</v>
      </c>
      <c r="F77" s="92">
        <f t="shared" ref="F77:F81" si="17">D77</f>
        <v>131299.46279999998</v>
      </c>
      <c r="G77" s="92">
        <f t="shared" ref="G77:G140" si="18">C77-E77</f>
        <v>13129946.279999999</v>
      </c>
    </row>
    <row r="78" spans="1:8">
      <c r="A78" s="91"/>
      <c r="B78" s="91" t="s">
        <v>54</v>
      </c>
      <c r="C78" s="92">
        <f t="shared" ref="C78:C141" si="19">G77</f>
        <v>13129946.279999999</v>
      </c>
      <c r="D78" s="92">
        <f t="shared" si="16"/>
        <v>131299.46279999998</v>
      </c>
      <c r="E78" s="92">
        <f t="shared" si="15"/>
        <v>0</v>
      </c>
      <c r="F78" s="92">
        <f t="shared" si="17"/>
        <v>131299.46279999998</v>
      </c>
      <c r="G78" s="92">
        <f t="shared" si="18"/>
        <v>13129946.279999999</v>
      </c>
    </row>
    <row r="79" spans="1:8">
      <c r="A79" s="91"/>
      <c r="B79" s="91" t="s">
        <v>55</v>
      </c>
      <c r="C79" s="92">
        <f t="shared" si="19"/>
        <v>13129946.279999999</v>
      </c>
      <c r="D79" s="92">
        <f t="shared" si="16"/>
        <v>131299.46279999998</v>
      </c>
      <c r="E79" s="92">
        <f t="shared" si="15"/>
        <v>0</v>
      </c>
      <c r="F79" s="92">
        <f t="shared" si="17"/>
        <v>131299.46279999998</v>
      </c>
      <c r="G79" s="92">
        <f t="shared" si="18"/>
        <v>13129946.279999999</v>
      </c>
    </row>
    <row r="80" spans="1:8">
      <c r="A80" s="91"/>
      <c r="B80" s="91" t="s">
        <v>56</v>
      </c>
      <c r="C80" s="92">
        <f t="shared" si="19"/>
        <v>13129946.279999999</v>
      </c>
      <c r="D80" s="92">
        <f t="shared" si="16"/>
        <v>131299.46279999998</v>
      </c>
      <c r="E80" s="92">
        <f t="shared" si="15"/>
        <v>0</v>
      </c>
      <c r="F80" s="92">
        <f t="shared" si="17"/>
        <v>131299.46279999998</v>
      </c>
      <c r="G80" s="92">
        <f t="shared" si="18"/>
        <v>13129946.279999999</v>
      </c>
    </row>
    <row r="81" spans="1:7">
      <c r="A81" s="91"/>
      <c r="B81" s="91" t="s">
        <v>57</v>
      </c>
      <c r="C81" s="92">
        <f t="shared" si="19"/>
        <v>13129946.279999999</v>
      </c>
      <c r="D81" s="92">
        <f t="shared" si="16"/>
        <v>131299.46279999998</v>
      </c>
      <c r="E81" s="92">
        <f t="shared" si="15"/>
        <v>0</v>
      </c>
      <c r="F81" s="92">
        <f t="shared" si="17"/>
        <v>131299.46279999998</v>
      </c>
      <c r="G81" s="92">
        <f t="shared" si="18"/>
        <v>13129946.279999999</v>
      </c>
    </row>
    <row r="82" spans="1:7">
      <c r="A82" s="91"/>
      <c r="B82" s="91" t="s">
        <v>58</v>
      </c>
      <c r="C82" s="92">
        <f t="shared" si="19"/>
        <v>13129946.279999999</v>
      </c>
      <c r="D82" s="92">
        <f t="shared" si="16"/>
        <v>131299.46279999998</v>
      </c>
      <c r="E82" s="92">
        <f>F82-D82</f>
        <v>111931.20401421119</v>
      </c>
      <c r="F82" s="92">
        <f>$B$74</f>
        <v>243230.66681421117</v>
      </c>
      <c r="G82" s="92">
        <f t="shared" si="18"/>
        <v>13018015.075985787</v>
      </c>
    </row>
    <row r="83" spans="1:7">
      <c r="A83" s="91"/>
      <c r="B83" s="91" t="s">
        <v>59</v>
      </c>
      <c r="C83" s="92">
        <f t="shared" si="19"/>
        <v>13018015.075985787</v>
      </c>
      <c r="D83" s="92">
        <f t="shared" si="16"/>
        <v>130180.15075985786</v>
      </c>
      <c r="E83" s="92">
        <f t="shared" ref="E83:E146" si="20">F83-D83</f>
        <v>113050.51605435331</v>
      </c>
      <c r="F83" s="92">
        <f t="shared" ref="F83:F146" si="21">$B$74</f>
        <v>243230.66681421117</v>
      </c>
      <c r="G83" s="92">
        <f t="shared" si="18"/>
        <v>12904964.559931435</v>
      </c>
    </row>
    <row r="84" spans="1:7">
      <c r="A84" s="91"/>
      <c r="B84" s="91" t="s">
        <v>60</v>
      </c>
      <c r="C84" s="92">
        <f t="shared" si="19"/>
        <v>12904964.559931435</v>
      </c>
      <c r="D84" s="92">
        <f t="shared" si="16"/>
        <v>129049.64559931435</v>
      </c>
      <c r="E84" s="92">
        <f t="shared" si="20"/>
        <v>114181.02121489683</v>
      </c>
      <c r="F84" s="92">
        <f t="shared" si="21"/>
        <v>243230.66681421117</v>
      </c>
      <c r="G84" s="92">
        <f t="shared" si="18"/>
        <v>12790783.538716538</v>
      </c>
    </row>
    <row r="85" spans="1:7">
      <c r="A85" s="91"/>
      <c r="B85" s="91" t="s">
        <v>61</v>
      </c>
      <c r="C85" s="92">
        <f t="shared" si="19"/>
        <v>12790783.538716538</v>
      </c>
      <c r="D85" s="92">
        <f t="shared" si="16"/>
        <v>127907.83538716537</v>
      </c>
      <c r="E85" s="92">
        <f t="shared" si="20"/>
        <v>115322.83142704581</v>
      </c>
      <c r="F85" s="92">
        <f t="shared" si="21"/>
        <v>243230.66681421117</v>
      </c>
      <c r="G85" s="92">
        <f t="shared" si="18"/>
        <v>12675460.707289493</v>
      </c>
    </row>
    <row r="86" spans="1:7">
      <c r="A86" s="91"/>
      <c r="B86" s="91" t="s">
        <v>62</v>
      </c>
      <c r="C86" s="92">
        <f t="shared" si="19"/>
        <v>12675460.707289493</v>
      </c>
      <c r="D86" s="92">
        <f t="shared" si="16"/>
        <v>126754.60707289493</v>
      </c>
      <c r="E86" s="92">
        <f t="shared" si="20"/>
        <v>116476.05974131625</v>
      </c>
      <c r="F86" s="92">
        <f t="shared" si="21"/>
        <v>243230.66681421117</v>
      </c>
      <c r="G86" s="92">
        <f t="shared" si="18"/>
        <v>12558984.647548176</v>
      </c>
    </row>
    <row r="87" spans="1:7">
      <c r="A87" s="91"/>
      <c r="B87" s="91" t="s">
        <v>63</v>
      </c>
      <c r="C87" s="92">
        <f t="shared" si="19"/>
        <v>12558984.647548176</v>
      </c>
      <c r="D87" s="92">
        <f t="shared" si="16"/>
        <v>125589.84647548175</v>
      </c>
      <c r="E87" s="92">
        <f t="shared" si="20"/>
        <v>117640.82033872942</v>
      </c>
      <c r="F87" s="92">
        <f t="shared" si="21"/>
        <v>243230.66681421117</v>
      </c>
      <c r="G87" s="92">
        <f t="shared" si="18"/>
        <v>12441343.827209447</v>
      </c>
    </row>
    <row r="88" spans="1:7">
      <c r="A88" s="91" t="s">
        <v>12</v>
      </c>
      <c r="B88" s="91" t="s">
        <v>64</v>
      </c>
      <c r="C88" s="92">
        <f t="shared" si="19"/>
        <v>12441343.827209447</v>
      </c>
      <c r="D88" s="92">
        <f t="shared" si="16"/>
        <v>124413.43827209447</v>
      </c>
      <c r="E88" s="92">
        <f t="shared" si="20"/>
        <v>118817.2285421167</v>
      </c>
      <c r="F88" s="92">
        <f t="shared" si="21"/>
        <v>243230.66681421117</v>
      </c>
      <c r="G88" s="92">
        <f t="shared" si="18"/>
        <v>12322526.598667329</v>
      </c>
    </row>
    <row r="89" spans="1:7">
      <c r="A89" s="91"/>
      <c r="B89" s="91" t="s">
        <v>65</v>
      </c>
      <c r="C89" s="92">
        <f t="shared" si="19"/>
        <v>12322526.598667329</v>
      </c>
      <c r="D89" s="92">
        <f t="shared" si="16"/>
        <v>123225.26598667329</v>
      </c>
      <c r="E89" s="92">
        <f t="shared" si="20"/>
        <v>120005.40082753789</v>
      </c>
      <c r="F89" s="92">
        <f t="shared" si="21"/>
        <v>243230.66681421117</v>
      </c>
      <c r="G89" s="92">
        <f t="shared" si="18"/>
        <v>12202521.197839791</v>
      </c>
    </row>
    <row r="90" spans="1:7">
      <c r="A90" s="91"/>
      <c r="B90" s="91" t="s">
        <v>66</v>
      </c>
      <c r="C90" s="92">
        <f t="shared" si="19"/>
        <v>12202521.197839791</v>
      </c>
      <c r="D90" s="92">
        <f t="shared" si="16"/>
        <v>122025.21197839791</v>
      </c>
      <c r="E90" s="92">
        <f t="shared" si="20"/>
        <v>121205.45483581326</v>
      </c>
      <c r="F90" s="92">
        <f t="shared" si="21"/>
        <v>243230.66681421117</v>
      </c>
      <c r="G90" s="92">
        <f t="shared" si="18"/>
        <v>12081315.743003977</v>
      </c>
    </row>
    <row r="91" spans="1:7">
      <c r="A91" s="91"/>
      <c r="B91" s="91" t="s">
        <v>67</v>
      </c>
      <c r="C91" s="92">
        <f t="shared" si="19"/>
        <v>12081315.743003977</v>
      </c>
      <c r="D91" s="92">
        <f t="shared" si="16"/>
        <v>120813.15743003978</v>
      </c>
      <c r="E91" s="92">
        <f t="shared" si="20"/>
        <v>122417.5093841714</v>
      </c>
      <c r="F91" s="92">
        <f t="shared" si="21"/>
        <v>243230.66681421117</v>
      </c>
      <c r="G91" s="92">
        <f t="shared" si="18"/>
        <v>11958898.233619805</v>
      </c>
    </row>
    <row r="92" spans="1:7">
      <c r="A92" s="91"/>
      <c r="B92" s="91" t="s">
        <v>68</v>
      </c>
      <c r="C92" s="92">
        <f t="shared" si="19"/>
        <v>11958898.233619805</v>
      </c>
      <c r="D92" s="92">
        <f t="shared" si="16"/>
        <v>119588.98233619805</v>
      </c>
      <c r="E92" s="92">
        <f t="shared" si="20"/>
        <v>123641.68447801312</v>
      </c>
      <c r="F92" s="92">
        <f t="shared" si="21"/>
        <v>243230.66681421117</v>
      </c>
      <c r="G92" s="92">
        <f t="shared" si="18"/>
        <v>11835256.549141793</v>
      </c>
    </row>
    <row r="93" spans="1:7">
      <c r="A93" s="91"/>
      <c r="B93" s="91" t="s">
        <v>69</v>
      </c>
      <c r="C93" s="92">
        <f t="shared" si="19"/>
        <v>11835256.549141793</v>
      </c>
      <c r="D93" s="92">
        <f t="shared" si="16"/>
        <v>118352.56549141793</v>
      </c>
      <c r="E93" s="92">
        <f t="shared" si="20"/>
        <v>124878.10132279324</v>
      </c>
      <c r="F93" s="92">
        <f t="shared" si="21"/>
        <v>243230.66681421117</v>
      </c>
      <c r="G93" s="92">
        <f t="shared" si="18"/>
        <v>11710378.447819</v>
      </c>
    </row>
    <row r="94" spans="1:7">
      <c r="A94" s="91"/>
      <c r="B94" s="91" t="s">
        <v>70</v>
      </c>
      <c r="C94" s="92">
        <f t="shared" si="19"/>
        <v>11710378.447819</v>
      </c>
      <c r="D94" s="92">
        <f t="shared" si="16"/>
        <v>117103.78447819001</v>
      </c>
      <c r="E94" s="92">
        <f t="shared" si="20"/>
        <v>126126.88233602117</v>
      </c>
      <c r="F94" s="92">
        <f t="shared" si="21"/>
        <v>243230.66681421117</v>
      </c>
      <c r="G94" s="92">
        <f t="shared" si="18"/>
        <v>11584251.56548298</v>
      </c>
    </row>
    <row r="95" spans="1:7">
      <c r="A95" s="91"/>
      <c r="B95" s="91" t="s">
        <v>71</v>
      </c>
      <c r="C95" s="92">
        <f t="shared" si="19"/>
        <v>11584251.56548298</v>
      </c>
      <c r="D95" s="92">
        <f t="shared" si="16"/>
        <v>115842.5156548298</v>
      </c>
      <c r="E95" s="92">
        <f t="shared" si="20"/>
        <v>127388.15115938138</v>
      </c>
      <c r="F95" s="92">
        <f t="shared" si="21"/>
        <v>243230.66681421117</v>
      </c>
      <c r="G95" s="92">
        <f t="shared" si="18"/>
        <v>11456863.414323598</v>
      </c>
    </row>
    <row r="96" spans="1:7">
      <c r="A96" s="91"/>
      <c r="B96" s="91" t="s">
        <v>72</v>
      </c>
      <c r="C96" s="92">
        <f t="shared" si="19"/>
        <v>11456863.414323598</v>
      </c>
      <c r="D96" s="92">
        <f t="shared" si="16"/>
        <v>114568.63414323598</v>
      </c>
      <c r="E96" s="92">
        <f t="shared" si="20"/>
        <v>128662.0326709752</v>
      </c>
      <c r="F96" s="92">
        <f t="shared" si="21"/>
        <v>243230.66681421117</v>
      </c>
      <c r="G96" s="92">
        <f t="shared" si="18"/>
        <v>11328201.381652623</v>
      </c>
    </row>
    <row r="97" spans="1:7">
      <c r="A97" s="91"/>
      <c r="B97" s="91" t="s">
        <v>73</v>
      </c>
      <c r="C97" s="92">
        <f t="shared" si="19"/>
        <v>11328201.381652623</v>
      </c>
      <c r="D97" s="92">
        <f t="shared" si="16"/>
        <v>113282.01381652623</v>
      </c>
      <c r="E97" s="92">
        <f t="shared" si="20"/>
        <v>129948.65299768494</v>
      </c>
      <c r="F97" s="92">
        <f t="shared" si="21"/>
        <v>243230.66681421117</v>
      </c>
      <c r="G97" s="92">
        <f t="shared" si="18"/>
        <v>11198252.728654938</v>
      </c>
    </row>
    <row r="98" spans="1:7">
      <c r="A98" s="91"/>
      <c r="B98" s="91" t="s">
        <v>74</v>
      </c>
      <c r="C98" s="92">
        <f t="shared" si="19"/>
        <v>11198252.728654938</v>
      </c>
      <c r="D98" s="92">
        <f t="shared" si="16"/>
        <v>111982.52728654938</v>
      </c>
      <c r="E98" s="92">
        <f t="shared" si="20"/>
        <v>131248.13952766178</v>
      </c>
      <c r="F98" s="92">
        <f t="shared" si="21"/>
        <v>243230.66681421117</v>
      </c>
      <c r="G98" s="92">
        <f t="shared" si="18"/>
        <v>11067004.589127276</v>
      </c>
    </row>
    <row r="99" spans="1:7">
      <c r="A99" s="91"/>
      <c r="B99" s="91" t="s">
        <v>75</v>
      </c>
      <c r="C99" s="92">
        <f t="shared" si="19"/>
        <v>11067004.589127276</v>
      </c>
      <c r="D99" s="92">
        <f t="shared" si="16"/>
        <v>110670.04589127276</v>
      </c>
      <c r="E99" s="92">
        <f t="shared" si="20"/>
        <v>132560.6209229384</v>
      </c>
      <c r="F99" s="92">
        <f t="shared" si="21"/>
        <v>243230.66681421117</v>
      </c>
      <c r="G99" s="92">
        <f t="shared" si="18"/>
        <v>10934443.968204338</v>
      </c>
    </row>
    <row r="100" spans="1:7">
      <c r="A100" s="91" t="s">
        <v>13</v>
      </c>
      <c r="B100" s="91" t="s">
        <v>76</v>
      </c>
      <c r="C100" s="92">
        <f t="shared" si="19"/>
        <v>10934443.968204338</v>
      </c>
      <c r="D100" s="92">
        <f t="shared" si="16"/>
        <v>109344.43968204338</v>
      </c>
      <c r="E100" s="92">
        <f t="shared" si="20"/>
        <v>133886.22713216778</v>
      </c>
      <c r="F100" s="92">
        <f t="shared" si="21"/>
        <v>243230.66681421117</v>
      </c>
      <c r="G100" s="92">
        <f t="shared" si="18"/>
        <v>10800557.74107217</v>
      </c>
    </row>
    <row r="101" spans="1:7">
      <c r="A101" s="91"/>
      <c r="B101" s="91" t="s">
        <v>77</v>
      </c>
      <c r="C101" s="92">
        <f t="shared" si="19"/>
        <v>10800557.74107217</v>
      </c>
      <c r="D101" s="92">
        <f t="shared" si="16"/>
        <v>108005.5774107217</v>
      </c>
      <c r="E101" s="92">
        <f t="shared" si="20"/>
        <v>135225.08940348949</v>
      </c>
      <c r="F101" s="92">
        <f t="shared" si="21"/>
        <v>243230.66681421117</v>
      </c>
      <c r="G101" s="92">
        <f t="shared" si="18"/>
        <v>10665332.651668681</v>
      </c>
    </row>
    <row r="102" spans="1:7">
      <c r="A102" s="91"/>
      <c r="B102" s="91" t="s">
        <v>78</v>
      </c>
      <c r="C102" s="92">
        <f t="shared" si="19"/>
        <v>10665332.651668681</v>
      </c>
      <c r="D102" s="92">
        <f t="shared" si="16"/>
        <v>106653.32651668681</v>
      </c>
      <c r="E102" s="92">
        <f t="shared" si="20"/>
        <v>136577.34029752435</v>
      </c>
      <c r="F102" s="92">
        <f t="shared" si="21"/>
        <v>243230.66681421117</v>
      </c>
      <c r="G102" s="92">
        <f t="shared" si="18"/>
        <v>10528755.311371157</v>
      </c>
    </row>
    <row r="103" spans="1:7">
      <c r="A103" s="91"/>
      <c r="B103" s="91" t="s">
        <v>79</v>
      </c>
      <c r="C103" s="92">
        <f t="shared" si="19"/>
        <v>10528755.311371157</v>
      </c>
      <c r="D103" s="92">
        <f t="shared" si="16"/>
        <v>105287.55311371158</v>
      </c>
      <c r="E103" s="92">
        <f t="shared" si="20"/>
        <v>137943.11370049958</v>
      </c>
      <c r="F103" s="92">
        <f t="shared" si="21"/>
        <v>243230.66681421117</v>
      </c>
      <c r="G103" s="92">
        <f t="shared" si="18"/>
        <v>10390812.197670657</v>
      </c>
    </row>
    <row r="104" spans="1:7">
      <c r="A104" s="91"/>
      <c r="B104" s="91" t="s">
        <v>80</v>
      </c>
      <c r="C104" s="92">
        <f t="shared" si="19"/>
        <v>10390812.197670657</v>
      </c>
      <c r="D104" s="92">
        <f t="shared" si="16"/>
        <v>103908.12197670656</v>
      </c>
      <c r="E104" s="92">
        <f t="shared" si="20"/>
        <v>139322.54483750463</v>
      </c>
      <c r="F104" s="92">
        <f t="shared" si="21"/>
        <v>243230.66681421117</v>
      </c>
      <c r="G104" s="92">
        <f t="shared" si="18"/>
        <v>10251489.652833153</v>
      </c>
    </row>
    <row r="105" spans="1:7">
      <c r="A105" s="91"/>
      <c r="B105" s="91" t="s">
        <v>81</v>
      </c>
      <c r="C105" s="92">
        <f t="shared" si="19"/>
        <v>10251489.652833153</v>
      </c>
      <c r="D105" s="92">
        <f t="shared" si="16"/>
        <v>102514.89652833152</v>
      </c>
      <c r="E105" s="92">
        <f t="shared" si="20"/>
        <v>140715.77028587967</v>
      </c>
      <c r="F105" s="92">
        <f t="shared" si="21"/>
        <v>243230.66681421117</v>
      </c>
      <c r="G105" s="92">
        <f t="shared" si="18"/>
        <v>10110773.882547272</v>
      </c>
    </row>
    <row r="106" spans="1:7">
      <c r="A106" s="91"/>
      <c r="B106" s="91" t="s">
        <v>82</v>
      </c>
      <c r="C106" s="92">
        <f t="shared" si="19"/>
        <v>10110773.882547272</v>
      </c>
      <c r="D106" s="92">
        <f t="shared" si="16"/>
        <v>101107.73882547271</v>
      </c>
      <c r="E106" s="92">
        <f t="shared" si="20"/>
        <v>142122.92798873846</v>
      </c>
      <c r="F106" s="92">
        <f t="shared" si="21"/>
        <v>243230.66681421117</v>
      </c>
      <c r="G106" s="92">
        <f t="shared" si="18"/>
        <v>9968650.9545585345</v>
      </c>
    </row>
    <row r="107" spans="1:7">
      <c r="A107" s="91"/>
      <c r="B107" s="91" t="s">
        <v>83</v>
      </c>
      <c r="C107" s="92">
        <f t="shared" si="19"/>
        <v>9968650.9545585345</v>
      </c>
      <c r="D107" s="92">
        <f t="shared" si="16"/>
        <v>99686.50954558533</v>
      </c>
      <c r="E107" s="92">
        <f t="shared" si="20"/>
        <v>143544.15726862586</v>
      </c>
      <c r="F107" s="92">
        <f t="shared" si="21"/>
        <v>243230.66681421117</v>
      </c>
      <c r="G107" s="92">
        <f t="shared" si="18"/>
        <v>9825106.7972899079</v>
      </c>
    </row>
    <row r="108" spans="1:7">
      <c r="A108" s="91"/>
      <c r="B108" s="91" t="s">
        <v>84</v>
      </c>
      <c r="C108" s="92">
        <f t="shared" si="19"/>
        <v>9825106.7972899079</v>
      </c>
      <c r="D108" s="92">
        <f t="shared" si="16"/>
        <v>98251.06797289908</v>
      </c>
      <c r="E108" s="92">
        <f t="shared" si="20"/>
        <v>144979.59884131211</v>
      </c>
      <c r="F108" s="92">
        <f t="shared" si="21"/>
        <v>243230.66681421117</v>
      </c>
      <c r="G108" s="92">
        <f t="shared" si="18"/>
        <v>9680127.1984485965</v>
      </c>
    </row>
    <row r="109" spans="1:7">
      <c r="A109" s="91"/>
      <c r="B109" s="91" t="s">
        <v>85</v>
      </c>
      <c r="C109" s="92">
        <f t="shared" si="19"/>
        <v>9680127.1984485965</v>
      </c>
      <c r="D109" s="92">
        <f t="shared" si="16"/>
        <v>96801.271984485968</v>
      </c>
      <c r="E109" s="92">
        <f t="shared" si="20"/>
        <v>146429.39482972521</v>
      </c>
      <c r="F109" s="92">
        <f t="shared" si="21"/>
        <v>243230.66681421117</v>
      </c>
      <c r="G109" s="92">
        <f t="shared" si="18"/>
        <v>9533697.8036188707</v>
      </c>
    </row>
    <row r="110" spans="1:7">
      <c r="A110" s="91"/>
      <c r="B110" s="91" t="s">
        <v>86</v>
      </c>
      <c r="C110" s="92">
        <f t="shared" si="19"/>
        <v>9533697.8036188707</v>
      </c>
      <c r="D110" s="92">
        <f t="shared" si="16"/>
        <v>95336.978036188695</v>
      </c>
      <c r="E110" s="92">
        <f t="shared" si="20"/>
        <v>147893.68877802248</v>
      </c>
      <c r="F110" s="92">
        <f t="shared" si="21"/>
        <v>243230.66681421117</v>
      </c>
      <c r="G110" s="92">
        <f t="shared" si="18"/>
        <v>9385804.1148408484</v>
      </c>
    </row>
    <row r="111" spans="1:7">
      <c r="A111" s="91"/>
      <c r="B111" s="91" t="s">
        <v>87</v>
      </c>
      <c r="C111" s="92">
        <f t="shared" si="19"/>
        <v>9385804.1148408484</v>
      </c>
      <c r="D111" s="92">
        <f t="shared" si="16"/>
        <v>93858.041148408476</v>
      </c>
      <c r="E111" s="92">
        <f t="shared" si="20"/>
        <v>149372.62566580268</v>
      </c>
      <c r="F111" s="92">
        <f t="shared" si="21"/>
        <v>243230.66681421117</v>
      </c>
      <c r="G111" s="92">
        <f t="shared" si="18"/>
        <v>9236431.4891750459</v>
      </c>
    </row>
    <row r="112" spans="1:7">
      <c r="A112" s="91" t="s">
        <v>14</v>
      </c>
      <c r="B112" s="91" t="s">
        <v>88</v>
      </c>
      <c r="C112" s="92">
        <f t="shared" si="19"/>
        <v>9236431.4891750459</v>
      </c>
      <c r="D112" s="92">
        <f t="shared" si="16"/>
        <v>92364.314891750459</v>
      </c>
      <c r="E112" s="92">
        <f t="shared" si="20"/>
        <v>150866.35192246072</v>
      </c>
      <c r="F112" s="92">
        <f t="shared" si="21"/>
        <v>243230.66681421117</v>
      </c>
      <c r="G112" s="92">
        <f t="shared" si="18"/>
        <v>9085565.137252586</v>
      </c>
    </row>
    <row r="113" spans="1:7">
      <c r="A113" s="91"/>
      <c r="B113" s="91" t="s">
        <v>89</v>
      </c>
      <c r="C113" s="92">
        <f t="shared" si="19"/>
        <v>9085565.137252586</v>
      </c>
      <c r="D113" s="92">
        <f t="shared" si="16"/>
        <v>90855.651372525856</v>
      </c>
      <c r="E113" s="92">
        <f t="shared" si="20"/>
        <v>152375.01544168533</v>
      </c>
      <c r="F113" s="92">
        <f t="shared" si="21"/>
        <v>243230.66681421117</v>
      </c>
      <c r="G113" s="92">
        <f t="shared" si="18"/>
        <v>8933190.1218109</v>
      </c>
    </row>
    <row r="114" spans="1:7">
      <c r="A114" s="91"/>
      <c r="B114" s="91" t="s">
        <v>90</v>
      </c>
      <c r="C114" s="92">
        <f t="shared" si="19"/>
        <v>8933190.1218109</v>
      </c>
      <c r="D114" s="92">
        <f t="shared" si="16"/>
        <v>89331.901218108993</v>
      </c>
      <c r="E114" s="92">
        <f t="shared" si="20"/>
        <v>153898.76559610217</v>
      </c>
      <c r="F114" s="92">
        <f t="shared" si="21"/>
        <v>243230.66681421117</v>
      </c>
      <c r="G114" s="92">
        <f t="shared" si="18"/>
        <v>8779291.3562147971</v>
      </c>
    </row>
    <row r="115" spans="1:7">
      <c r="A115" s="91"/>
      <c r="B115" s="91" t="s">
        <v>91</v>
      </c>
      <c r="C115" s="92">
        <f t="shared" si="19"/>
        <v>8779291.3562147971</v>
      </c>
      <c r="D115" s="92">
        <f t="shared" si="16"/>
        <v>87792.91356214798</v>
      </c>
      <c r="E115" s="92">
        <f t="shared" si="20"/>
        <v>155437.75325206318</v>
      </c>
      <c r="F115" s="92">
        <f t="shared" si="21"/>
        <v>243230.66681421117</v>
      </c>
      <c r="G115" s="92">
        <f t="shared" si="18"/>
        <v>8623853.6029627342</v>
      </c>
    </row>
    <row r="116" spans="1:7">
      <c r="A116" s="91"/>
      <c r="B116" s="91" t="s">
        <v>92</v>
      </c>
      <c r="C116" s="92">
        <f t="shared" si="19"/>
        <v>8623853.6029627342</v>
      </c>
      <c r="D116" s="92">
        <f t="shared" si="16"/>
        <v>86238.536029627343</v>
      </c>
      <c r="E116" s="92">
        <f t="shared" si="20"/>
        <v>156992.13078458383</v>
      </c>
      <c r="F116" s="92">
        <f t="shared" si="21"/>
        <v>243230.66681421117</v>
      </c>
      <c r="G116" s="92">
        <f t="shared" si="18"/>
        <v>8466861.47217815</v>
      </c>
    </row>
    <row r="117" spans="1:7">
      <c r="A117" s="91"/>
      <c r="B117" s="91" t="s">
        <v>93</v>
      </c>
      <c r="C117" s="92">
        <f t="shared" si="19"/>
        <v>8466861.47217815</v>
      </c>
      <c r="D117" s="92">
        <f t="shared" si="16"/>
        <v>84668.614721781501</v>
      </c>
      <c r="E117" s="92">
        <f t="shared" si="20"/>
        <v>158562.05209242966</v>
      </c>
      <c r="F117" s="92">
        <f t="shared" si="21"/>
        <v>243230.66681421117</v>
      </c>
      <c r="G117" s="92">
        <f t="shared" si="18"/>
        <v>8308299.4200857207</v>
      </c>
    </row>
    <row r="118" spans="1:7">
      <c r="A118" s="91"/>
      <c r="B118" s="91" t="s">
        <v>94</v>
      </c>
      <c r="C118" s="92">
        <f t="shared" si="19"/>
        <v>8308299.4200857207</v>
      </c>
      <c r="D118" s="92">
        <f t="shared" si="16"/>
        <v>83082.994200857196</v>
      </c>
      <c r="E118" s="92">
        <f t="shared" si="20"/>
        <v>160147.67261335399</v>
      </c>
      <c r="F118" s="92">
        <f t="shared" si="21"/>
        <v>243230.66681421117</v>
      </c>
      <c r="G118" s="92">
        <f t="shared" si="18"/>
        <v>8148151.7474723663</v>
      </c>
    </row>
    <row r="119" spans="1:7">
      <c r="A119" s="91"/>
      <c r="B119" s="91" t="s">
        <v>95</v>
      </c>
      <c r="C119" s="92">
        <f t="shared" si="19"/>
        <v>8148151.7474723663</v>
      </c>
      <c r="D119" s="92">
        <f t="shared" si="16"/>
        <v>81481.51747472366</v>
      </c>
      <c r="E119" s="92">
        <f t="shared" si="20"/>
        <v>161749.14933948751</v>
      </c>
      <c r="F119" s="92">
        <f t="shared" si="21"/>
        <v>243230.66681421117</v>
      </c>
      <c r="G119" s="92">
        <f t="shared" si="18"/>
        <v>7986402.5981328785</v>
      </c>
    </row>
    <row r="120" spans="1:7">
      <c r="A120" s="91"/>
      <c r="B120" s="91" t="s">
        <v>96</v>
      </c>
      <c r="C120" s="92">
        <f t="shared" si="19"/>
        <v>7986402.5981328785</v>
      </c>
      <c r="D120" s="92">
        <f t="shared" si="16"/>
        <v>79864.025981328785</v>
      </c>
      <c r="E120" s="92">
        <f t="shared" si="20"/>
        <v>163366.64083288237</v>
      </c>
      <c r="F120" s="92">
        <f t="shared" si="21"/>
        <v>243230.66681421117</v>
      </c>
      <c r="G120" s="92">
        <f t="shared" si="18"/>
        <v>7823035.9572999962</v>
      </c>
    </row>
    <row r="121" spans="1:7">
      <c r="A121" s="91"/>
      <c r="B121" s="91" t="s">
        <v>97</v>
      </c>
      <c r="C121" s="92">
        <f t="shared" si="19"/>
        <v>7823035.9572999962</v>
      </c>
      <c r="D121" s="92">
        <f t="shared" si="16"/>
        <v>78230.359572999951</v>
      </c>
      <c r="E121" s="92">
        <f t="shared" si="20"/>
        <v>165000.30724121124</v>
      </c>
      <c r="F121" s="92">
        <f t="shared" si="21"/>
        <v>243230.66681421117</v>
      </c>
      <c r="G121" s="92">
        <f t="shared" si="18"/>
        <v>7658035.6500587845</v>
      </c>
    </row>
    <row r="122" spans="1:7">
      <c r="A122" s="91"/>
      <c r="B122" s="91" t="s">
        <v>98</v>
      </c>
      <c r="C122" s="92">
        <f t="shared" si="19"/>
        <v>7658035.6500587845</v>
      </c>
      <c r="D122" s="92">
        <f t="shared" si="16"/>
        <v>76580.356500587848</v>
      </c>
      <c r="E122" s="92">
        <f t="shared" si="20"/>
        <v>166650.31031362334</v>
      </c>
      <c r="F122" s="92">
        <f t="shared" si="21"/>
        <v>243230.66681421117</v>
      </c>
      <c r="G122" s="92">
        <f t="shared" si="18"/>
        <v>7491385.3397451611</v>
      </c>
    </row>
    <row r="123" spans="1:7">
      <c r="A123" s="91"/>
      <c r="B123" s="91" t="s">
        <v>99</v>
      </c>
      <c r="C123" s="92">
        <f t="shared" si="19"/>
        <v>7491385.3397451611</v>
      </c>
      <c r="D123" s="92">
        <f t="shared" si="16"/>
        <v>74913.853397451618</v>
      </c>
      <c r="E123" s="92">
        <f t="shared" si="20"/>
        <v>168316.81341675954</v>
      </c>
      <c r="F123" s="92">
        <f t="shared" si="21"/>
        <v>243230.66681421117</v>
      </c>
      <c r="G123" s="92">
        <f t="shared" si="18"/>
        <v>7323068.5263284016</v>
      </c>
    </row>
    <row r="124" spans="1:7">
      <c r="A124" s="91" t="s">
        <v>15</v>
      </c>
      <c r="B124" s="91" t="s">
        <v>100</v>
      </c>
      <c r="C124" s="92">
        <f t="shared" si="19"/>
        <v>7323068.5263284016</v>
      </c>
      <c r="D124" s="92">
        <f t="shared" si="16"/>
        <v>73230.685263284016</v>
      </c>
      <c r="E124" s="92">
        <f t="shared" si="20"/>
        <v>169999.98155092716</v>
      </c>
      <c r="F124" s="92">
        <f t="shared" si="21"/>
        <v>243230.66681421117</v>
      </c>
      <c r="G124" s="92">
        <f t="shared" si="18"/>
        <v>7153068.5447774744</v>
      </c>
    </row>
    <row r="125" spans="1:7">
      <c r="A125" s="91"/>
      <c r="B125" s="91" t="s">
        <v>101</v>
      </c>
      <c r="C125" s="92">
        <f t="shared" si="19"/>
        <v>7153068.5447774744</v>
      </c>
      <c r="D125" s="92">
        <f t="shared" si="16"/>
        <v>71530.68544777474</v>
      </c>
      <c r="E125" s="92">
        <f t="shared" si="20"/>
        <v>171699.98136643643</v>
      </c>
      <c r="F125" s="92">
        <f t="shared" si="21"/>
        <v>243230.66681421117</v>
      </c>
      <c r="G125" s="92">
        <f t="shared" si="18"/>
        <v>6981368.5634110384</v>
      </c>
    </row>
    <row r="126" spans="1:7">
      <c r="A126" s="91"/>
      <c r="B126" s="91" t="s">
        <v>102</v>
      </c>
      <c r="C126" s="92">
        <f t="shared" si="19"/>
        <v>6981368.5634110384</v>
      </c>
      <c r="D126" s="92">
        <f t="shared" si="16"/>
        <v>69813.685634110385</v>
      </c>
      <c r="E126" s="92">
        <f t="shared" si="20"/>
        <v>173416.98118010079</v>
      </c>
      <c r="F126" s="92">
        <f t="shared" si="21"/>
        <v>243230.66681421117</v>
      </c>
      <c r="G126" s="92">
        <f t="shared" si="18"/>
        <v>6807951.5822309377</v>
      </c>
    </row>
    <row r="127" spans="1:7">
      <c r="A127" s="91"/>
      <c r="B127" s="91" t="s">
        <v>103</v>
      </c>
      <c r="C127" s="92">
        <f t="shared" si="19"/>
        <v>6807951.5822309377</v>
      </c>
      <c r="D127" s="92">
        <f t="shared" si="16"/>
        <v>68079.515822309375</v>
      </c>
      <c r="E127" s="92">
        <f t="shared" si="20"/>
        <v>175151.15099190181</v>
      </c>
      <c r="F127" s="92">
        <f t="shared" si="21"/>
        <v>243230.66681421117</v>
      </c>
      <c r="G127" s="92">
        <f t="shared" si="18"/>
        <v>6632800.4312390359</v>
      </c>
    </row>
    <row r="128" spans="1:7">
      <c r="A128" s="91"/>
      <c r="B128" s="91" t="s">
        <v>104</v>
      </c>
      <c r="C128" s="92">
        <f t="shared" si="19"/>
        <v>6632800.4312390359</v>
      </c>
      <c r="D128" s="92">
        <f t="shared" si="16"/>
        <v>66328.00431239036</v>
      </c>
      <c r="E128" s="92">
        <f t="shared" si="20"/>
        <v>176902.66250182083</v>
      </c>
      <c r="F128" s="92">
        <f t="shared" si="21"/>
        <v>243230.66681421117</v>
      </c>
      <c r="G128" s="92">
        <f t="shared" si="18"/>
        <v>6455897.7687372155</v>
      </c>
    </row>
    <row r="129" spans="1:7">
      <c r="A129" s="91"/>
      <c r="B129" s="91" t="s">
        <v>105</v>
      </c>
      <c r="C129" s="92">
        <f t="shared" si="19"/>
        <v>6455897.7687372155</v>
      </c>
      <c r="D129" s="92">
        <f t="shared" si="16"/>
        <v>64558.977687372157</v>
      </c>
      <c r="E129" s="92">
        <f t="shared" si="20"/>
        <v>178671.68912683902</v>
      </c>
      <c r="F129" s="92">
        <f t="shared" si="21"/>
        <v>243230.66681421117</v>
      </c>
      <c r="G129" s="92">
        <f t="shared" si="18"/>
        <v>6277226.0796103766</v>
      </c>
    </row>
    <row r="130" spans="1:7">
      <c r="A130" s="91"/>
      <c r="B130" s="91" t="s">
        <v>106</v>
      </c>
      <c r="C130" s="92">
        <f t="shared" si="19"/>
        <v>6277226.0796103766</v>
      </c>
      <c r="D130" s="92">
        <f t="shared" si="16"/>
        <v>62772.260796103765</v>
      </c>
      <c r="E130" s="92">
        <f t="shared" si="20"/>
        <v>180458.4060181074</v>
      </c>
      <c r="F130" s="92">
        <f t="shared" si="21"/>
        <v>243230.66681421117</v>
      </c>
      <c r="G130" s="92">
        <f t="shared" si="18"/>
        <v>6096767.6735922694</v>
      </c>
    </row>
    <row r="131" spans="1:7">
      <c r="A131" s="91"/>
      <c r="B131" s="91" t="s">
        <v>107</v>
      </c>
      <c r="C131" s="92">
        <f t="shared" si="19"/>
        <v>6096767.6735922694</v>
      </c>
      <c r="D131" s="92">
        <f t="shared" si="16"/>
        <v>60967.676735922694</v>
      </c>
      <c r="E131" s="92">
        <f t="shared" si="20"/>
        <v>182262.99007828848</v>
      </c>
      <c r="F131" s="92">
        <f t="shared" si="21"/>
        <v>243230.66681421117</v>
      </c>
      <c r="G131" s="92">
        <f t="shared" si="18"/>
        <v>5914504.6835139813</v>
      </c>
    </row>
    <row r="132" spans="1:7">
      <c r="A132" s="91"/>
      <c r="B132" s="91" t="s">
        <v>108</v>
      </c>
      <c r="C132" s="92">
        <f t="shared" si="19"/>
        <v>5914504.6835139813</v>
      </c>
      <c r="D132" s="92">
        <f t="shared" si="16"/>
        <v>59145.046835139809</v>
      </c>
      <c r="E132" s="92">
        <f t="shared" si="20"/>
        <v>184085.61997907137</v>
      </c>
      <c r="F132" s="92">
        <f t="shared" si="21"/>
        <v>243230.66681421117</v>
      </c>
      <c r="G132" s="92">
        <f t="shared" si="18"/>
        <v>5730419.0635349099</v>
      </c>
    </row>
    <row r="133" spans="1:7">
      <c r="A133" s="91"/>
      <c r="B133" s="91" t="s">
        <v>109</v>
      </c>
      <c r="C133" s="92">
        <f t="shared" si="19"/>
        <v>5730419.0635349099</v>
      </c>
      <c r="D133" s="92">
        <f t="shared" si="16"/>
        <v>57304.190635349099</v>
      </c>
      <c r="E133" s="92">
        <f t="shared" si="20"/>
        <v>185926.47617886207</v>
      </c>
      <c r="F133" s="92">
        <f t="shared" si="21"/>
        <v>243230.66681421117</v>
      </c>
      <c r="G133" s="92">
        <f t="shared" si="18"/>
        <v>5544492.5873560477</v>
      </c>
    </row>
    <row r="134" spans="1:7">
      <c r="A134" s="91"/>
      <c r="B134" s="91" t="s">
        <v>110</v>
      </c>
      <c r="C134" s="92">
        <f t="shared" si="19"/>
        <v>5544492.5873560477</v>
      </c>
      <c r="D134" s="92">
        <f t="shared" si="16"/>
        <v>55444.925873560474</v>
      </c>
      <c r="E134" s="92">
        <f t="shared" si="20"/>
        <v>187785.74094065069</v>
      </c>
      <c r="F134" s="92">
        <f t="shared" si="21"/>
        <v>243230.66681421117</v>
      </c>
      <c r="G134" s="92">
        <f t="shared" si="18"/>
        <v>5356706.8464153968</v>
      </c>
    </row>
    <row r="135" spans="1:7">
      <c r="A135" s="91"/>
      <c r="B135" s="91" t="s">
        <v>111</v>
      </c>
      <c r="C135" s="92">
        <f t="shared" si="19"/>
        <v>5356706.8464153968</v>
      </c>
      <c r="D135" s="92">
        <f t="shared" si="16"/>
        <v>53567.06846415397</v>
      </c>
      <c r="E135" s="92">
        <f t="shared" si="20"/>
        <v>189663.5983500572</v>
      </c>
      <c r="F135" s="92">
        <f t="shared" si="21"/>
        <v>243230.66681421117</v>
      </c>
      <c r="G135" s="92">
        <f t="shared" si="18"/>
        <v>5167043.2480653394</v>
      </c>
    </row>
    <row r="136" spans="1:7">
      <c r="A136" s="91" t="s">
        <v>16</v>
      </c>
      <c r="B136" s="91" t="s">
        <v>112</v>
      </c>
      <c r="C136" s="92">
        <f t="shared" si="19"/>
        <v>5167043.2480653394</v>
      </c>
      <c r="D136" s="92">
        <f t="shared" si="16"/>
        <v>51670.432480653391</v>
      </c>
      <c r="E136" s="92">
        <f t="shared" si="20"/>
        <v>191560.23433355778</v>
      </c>
      <c r="F136" s="92">
        <f t="shared" si="21"/>
        <v>243230.66681421117</v>
      </c>
      <c r="G136" s="92">
        <f t="shared" si="18"/>
        <v>4975483.0137317814</v>
      </c>
    </row>
    <row r="137" spans="1:7">
      <c r="A137" s="91"/>
      <c r="B137" s="91" t="s">
        <v>113</v>
      </c>
      <c r="C137" s="92">
        <f t="shared" si="19"/>
        <v>4975483.0137317814</v>
      </c>
      <c r="D137" s="92">
        <f t="shared" si="16"/>
        <v>49754.830137317818</v>
      </c>
      <c r="E137" s="92">
        <f t="shared" si="20"/>
        <v>193475.83667689335</v>
      </c>
      <c r="F137" s="92">
        <f t="shared" si="21"/>
        <v>243230.66681421117</v>
      </c>
      <c r="G137" s="92">
        <f t="shared" si="18"/>
        <v>4782007.1770548876</v>
      </c>
    </row>
    <row r="138" spans="1:7">
      <c r="A138" s="91"/>
      <c r="B138" s="91" t="s">
        <v>114</v>
      </c>
      <c r="C138" s="92">
        <f t="shared" si="19"/>
        <v>4782007.1770548876</v>
      </c>
      <c r="D138" s="92">
        <f t="shared" si="16"/>
        <v>47820.071770548879</v>
      </c>
      <c r="E138" s="92">
        <f t="shared" si="20"/>
        <v>195410.5950436623</v>
      </c>
      <c r="F138" s="92">
        <f t="shared" si="21"/>
        <v>243230.66681421117</v>
      </c>
      <c r="G138" s="92">
        <f t="shared" si="18"/>
        <v>4586596.5820112256</v>
      </c>
    </row>
    <row r="139" spans="1:7">
      <c r="A139" s="91"/>
      <c r="B139" s="91" t="s">
        <v>115</v>
      </c>
      <c r="C139" s="92">
        <f t="shared" si="19"/>
        <v>4586596.5820112256</v>
      </c>
      <c r="D139" s="92">
        <f t="shared" si="16"/>
        <v>45865.965820112258</v>
      </c>
      <c r="E139" s="92">
        <f t="shared" si="20"/>
        <v>197364.70099409891</v>
      </c>
      <c r="F139" s="92">
        <f t="shared" si="21"/>
        <v>243230.66681421117</v>
      </c>
      <c r="G139" s="92">
        <f t="shared" si="18"/>
        <v>4389231.8810171271</v>
      </c>
    </row>
    <row r="140" spans="1:7">
      <c r="A140" s="91"/>
      <c r="B140" s="91" t="s">
        <v>116</v>
      </c>
      <c r="C140" s="92">
        <f t="shared" si="19"/>
        <v>4389231.8810171271</v>
      </c>
      <c r="D140" s="92">
        <f t="shared" si="16"/>
        <v>43892.318810171273</v>
      </c>
      <c r="E140" s="92">
        <f t="shared" si="20"/>
        <v>199338.3480040399</v>
      </c>
      <c r="F140" s="92">
        <f t="shared" si="21"/>
        <v>243230.66681421117</v>
      </c>
      <c r="G140" s="92">
        <f t="shared" si="18"/>
        <v>4189893.5330130872</v>
      </c>
    </row>
    <row r="141" spans="1:7">
      <c r="A141" s="91"/>
      <c r="B141" s="91" t="s">
        <v>117</v>
      </c>
      <c r="C141" s="92">
        <f t="shared" si="19"/>
        <v>4189893.5330130872</v>
      </c>
      <c r="D141" s="92">
        <f t="shared" ref="D141:D159" si="22">C141*$B$71/12</f>
        <v>41898.935330130873</v>
      </c>
      <c r="E141" s="92">
        <f t="shared" si="20"/>
        <v>201331.73148408032</v>
      </c>
      <c r="F141" s="92">
        <f t="shared" si="21"/>
        <v>243230.66681421117</v>
      </c>
      <c r="G141" s="92">
        <f t="shared" ref="G141:G159" si="23">C141-E141</f>
        <v>3988561.801529007</v>
      </c>
    </row>
    <row r="142" spans="1:7">
      <c r="A142" s="91"/>
      <c r="B142" s="91" t="s">
        <v>118</v>
      </c>
      <c r="C142" s="92">
        <f t="shared" ref="C142:C159" si="24">G141</f>
        <v>3988561.801529007</v>
      </c>
      <c r="D142" s="92">
        <f t="shared" si="22"/>
        <v>39885.618015290071</v>
      </c>
      <c r="E142" s="92">
        <f t="shared" si="20"/>
        <v>203345.04879892111</v>
      </c>
      <c r="F142" s="92">
        <f t="shared" si="21"/>
        <v>243230.66681421117</v>
      </c>
      <c r="G142" s="92">
        <f t="shared" si="23"/>
        <v>3785216.752730086</v>
      </c>
    </row>
    <row r="143" spans="1:7">
      <c r="A143" s="91"/>
      <c r="B143" s="91" t="s">
        <v>119</v>
      </c>
      <c r="C143" s="92">
        <f t="shared" si="24"/>
        <v>3785216.752730086</v>
      </c>
      <c r="D143" s="92">
        <f t="shared" si="22"/>
        <v>37852.167527300859</v>
      </c>
      <c r="E143" s="92">
        <f t="shared" si="20"/>
        <v>205378.49928691032</v>
      </c>
      <c r="F143" s="92">
        <f t="shared" si="21"/>
        <v>243230.66681421117</v>
      </c>
      <c r="G143" s="92">
        <f t="shared" si="23"/>
        <v>3579838.2534431755</v>
      </c>
    </row>
    <row r="144" spans="1:7">
      <c r="A144" s="91"/>
      <c r="B144" s="91" t="s">
        <v>120</v>
      </c>
      <c r="C144" s="92">
        <f t="shared" si="24"/>
        <v>3579838.2534431755</v>
      </c>
      <c r="D144" s="92">
        <f t="shared" si="22"/>
        <v>35798.382534431752</v>
      </c>
      <c r="E144" s="92">
        <f t="shared" si="20"/>
        <v>207432.28427977941</v>
      </c>
      <c r="F144" s="92">
        <f t="shared" si="21"/>
        <v>243230.66681421117</v>
      </c>
      <c r="G144" s="92">
        <f t="shared" si="23"/>
        <v>3372405.9691633959</v>
      </c>
    </row>
    <row r="145" spans="1:7">
      <c r="A145" s="91"/>
      <c r="B145" s="91" t="s">
        <v>121</v>
      </c>
      <c r="C145" s="92">
        <f t="shared" si="24"/>
        <v>3372405.9691633959</v>
      </c>
      <c r="D145" s="92">
        <f t="shared" si="22"/>
        <v>33724.059691633956</v>
      </c>
      <c r="E145" s="92">
        <f t="shared" si="20"/>
        <v>209506.6071225772</v>
      </c>
      <c r="F145" s="92">
        <f t="shared" si="21"/>
        <v>243230.66681421117</v>
      </c>
      <c r="G145" s="92">
        <f t="shared" si="23"/>
        <v>3162899.3620408187</v>
      </c>
    </row>
    <row r="146" spans="1:7">
      <c r="A146" s="91"/>
      <c r="B146" s="91" t="s">
        <v>122</v>
      </c>
      <c r="C146" s="92">
        <f t="shared" si="24"/>
        <v>3162899.3620408187</v>
      </c>
      <c r="D146" s="92">
        <f t="shared" si="22"/>
        <v>31628.993620408186</v>
      </c>
      <c r="E146" s="92">
        <f t="shared" si="20"/>
        <v>211601.673193803</v>
      </c>
      <c r="F146" s="92">
        <f t="shared" si="21"/>
        <v>243230.66681421117</v>
      </c>
      <c r="G146" s="92">
        <f t="shared" si="23"/>
        <v>2951297.6888470156</v>
      </c>
    </row>
    <row r="147" spans="1:7">
      <c r="A147" s="91"/>
      <c r="B147" s="91" t="s">
        <v>123</v>
      </c>
      <c r="C147" s="92">
        <f t="shared" si="24"/>
        <v>2951297.6888470156</v>
      </c>
      <c r="D147" s="92">
        <f t="shared" si="22"/>
        <v>29512.976888470152</v>
      </c>
      <c r="E147" s="92">
        <f t="shared" ref="E147:E159" si="25">F147-D147</f>
        <v>213717.68992574103</v>
      </c>
      <c r="F147" s="92">
        <f t="shared" ref="F147:F159" si="26">$B$74</f>
        <v>243230.66681421117</v>
      </c>
      <c r="G147" s="92">
        <f t="shared" si="23"/>
        <v>2737579.9989212747</v>
      </c>
    </row>
    <row r="148" spans="1:7">
      <c r="A148" s="91" t="s">
        <v>277</v>
      </c>
      <c r="B148" s="91" t="s">
        <v>212</v>
      </c>
      <c r="C148" s="92">
        <f t="shared" si="24"/>
        <v>2737579.9989212747</v>
      </c>
      <c r="D148" s="92">
        <f t="shared" si="22"/>
        <v>27375.799989212745</v>
      </c>
      <c r="E148" s="92">
        <f t="shared" si="25"/>
        <v>215854.86682499843</v>
      </c>
      <c r="F148" s="92">
        <f t="shared" si="26"/>
        <v>243230.66681421117</v>
      </c>
      <c r="G148" s="92">
        <f t="shared" si="23"/>
        <v>2521725.1320962762</v>
      </c>
    </row>
    <row r="149" spans="1:7">
      <c r="A149" s="91"/>
      <c r="B149" s="91" t="s">
        <v>213</v>
      </c>
      <c r="C149" s="92">
        <f t="shared" si="24"/>
        <v>2521725.1320962762</v>
      </c>
      <c r="D149" s="92">
        <f t="shared" si="22"/>
        <v>25217.251320962761</v>
      </c>
      <c r="E149" s="92">
        <f t="shared" si="25"/>
        <v>218013.41549324841</v>
      </c>
      <c r="F149" s="92">
        <f t="shared" si="26"/>
        <v>243230.66681421117</v>
      </c>
      <c r="G149" s="92">
        <f t="shared" si="23"/>
        <v>2303711.7166030277</v>
      </c>
    </row>
    <row r="150" spans="1:7">
      <c r="A150" s="91"/>
      <c r="B150" s="91" t="s">
        <v>214</v>
      </c>
      <c r="C150" s="92">
        <f t="shared" si="24"/>
        <v>2303711.7166030277</v>
      </c>
      <c r="D150" s="92">
        <f t="shared" si="22"/>
        <v>23037.117166030275</v>
      </c>
      <c r="E150" s="92">
        <f t="shared" si="25"/>
        <v>220193.5496481809</v>
      </c>
      <c r="F150" s="92">
        <f t="shared" si="26"/>
        <v>243230.66681421117</v>
      </c>
      <c r="G150" s="92">
        <f t="shared" si="23"/>
        <v>2083518.1669548468</v>
      </c>
    </row>
    <row r="151" spans="1:7">
      <c r="A151" s="91"/>
      <c r="B151" s="91" t="s">
        <v>215</v>
      </c>
      <c r="C151" s="92">
        <f t="shared" si="24"/>
        <v>2083518.1669548468</v>
      </c>
      <c r="D151" s="92">
        <f t="shared" si="22"/>
        <v>20835.181669548467</v>
      </c>
      <c r="E151" s="92">
        <f t="shared" si="25"/>
        <v>222395.4851446627</v>
      </c>
      <c r="F151" s="92">
        <f t="shared" si="26"/>
        <v>243230.66681421117</v>
      </c>
      <c r="G151" s="92">
        <f t="shared" si="23"/>
        <v>1861122.6818101841</v>
      </c>
    </row>
    <row r="152" spans="1:7">
      <c r="A152" s="91"/>
      <c r="B152" s="91" t="s">
        <v>216</v>
      </c>
      <c r="C152" s="92">
        <f t="shared" si="24"/>
        <v>1861122.6818101841</v>
      </c>
      <c r="D152" s="92">
        <f t="shared" si="22"/>
        <v>18611.226818101841</v>
      </c>
      <c r="E152" s="92">
        <f t="shared" si="25"/>
        <v>224619.43999610934</v>
      </c>
      <c r="F152" s="92">
        <f t="shared" si="26"/>
        <v>243230.66681421117</v>
      </c>
      <c r="G152" s="92">
        <f t="shared" si="23"/>
        <v>1636503.2418140748</v>
      </c>
    </row>
    <row r="153" spans="1:7">
      <c r="A153" s="91"/>
      <c r="B153" s="91" t="s">
        <v>217</v>
      </c>
      <c r="C153" s="92">
        <f t="shared" si="24"/>
        <v>1636503.2418140748</v>
      </c>
      <c r="D153" s="92">
        <f t="shared" si="22"/>
        <v>16365.032418140749</v>
      </c>
      <c r="E153" s="92">
        <f t="shared" si="25"/>
        <v>226865.63439607044</v>
      </c>
      <c r="F153" s="92">
        <f t="shared" si="26"/>
        <v>243230.66681421117</v>
      </c>
      <c r="G153" s="92">
        <f t="shared" si="23"/>
        <v>1409637.6074180044</v>
      </c>
    </row>
    <row r="154" spans="1:7">
      <c r="A154" s="91"/>
      <c r="B154" s="91" t="s">
        <v>218</v>
      </c>
      <c r="C154" s="92">
        <f t="shared" si="24"/>
        <v>1409637.6074180044</v>
      </c>
      <c r="D154" s="92">
        <f t="shared" si="22"/>
        <v>14096.376074180043</v>
      </c>
      <c r="E154" s="92">
        <f t="shared" si="25"/>
        <v>229134.29074003114</v>
      </c>
      <c r="F154" s="92">
        <f t="shared" si="26"/>
        <v>243230.66681421117</v>
      </c>
      <c r="G154" s="92">
        <f t="shared" si="23"/>
        <v>1180503.3166779734</v>
      </c>
    </row>
    <row r="155" spans="1:7">
      <c r="A155" s="91"/>
      <c r="B155" s="91" t="s">
        <v>219</v>
      </c>
      <c r="C155" s="92">
        <f t="shared" si="24"/>
        <v>1180503.3166779734</v>
      </c>
      <c r="D155" s="92">
        <f t="shared" si="22"/>
        <v>11805.033166779735</v>
      </c>
      <c r="E155" s="92">
        <f t="shared" si="25"/>
        <v>231425.63364743144</v>
      </c>
      <c r="F155" s="92">
        <f t="shared" si="26"/>
        <v>243230.66681421117</v>
      </c>
      <c r="G155" s="92">
        <f t="shared" si="23"/>
        <v>949077.68303054199</v>
      </c>
    </row>
    <row r="156" spans="1:7">
      <c r="A156" s="91"/>
      <c r="B156" s="91" t="s">
        <v>220</v>
      </c>
      <c r="C156" s="92">
        <f t="shared" si="24"/>
        <v>949077.68303054199</v>
      </c>
      <c r="D156" s="92">
        <f t="shared" si="22"/>
        <v>9490.7768303054199</v>
      </c>
      <c r="E156" s="92">
        <f t="shared" si="25"/>
        <v>233739.88998390574</v>
      </c>
      <c r="F156" s="92">
        <f t="shared" si="26"/>
        <v>243230.66681421117</v>
      </c>
      <c r="G156" s="92">
        <f t="shared" si="23"/>
        <v>715337.79304663627</v>
      </c>
    </row>
    <row r="157" spans="1:7">
      <c r="A157" s="91"/>
      <c r="B157" s="91" t="s">
        <v>221</v>
      </c>
      <c r="C157" s="92">
        <f t="shared" si="24"/>
        <v>715337.79304663627</v>
      </c>
      <c r="D157" s="92">
        <f t="shared" si="22"/>
        <v>7153.3779304663622</v>
      </c>
      <c r="E157" s="92">
        <f t="shared" si="25"/>
        <v>236077.2888837448</v>
      </c>
      <c r="F157" s="92">
        <f t="shared" si="26"/>
        <v>243230.66681421117</v>
      </c>
      <c r="G157" s="92">
        <f t="shared" si="23"/>
        <v>479260.50416289148</v>
      </c>
    </row>
    <row r="158" spans="1:7">
      <c r="A158" s="91"/>
      <c r="B158" s="91" t="s">
        <v>222</v>
      </c>
      <c r="C158" s="92">
        <f t="shared" si="24"/>
        <v>479260.50416289148</v>
      </c>
      <c r="D158" s="92">
        <f t="shared" si="22"/>
        <v>4792.6050416289145</v>
      </c>
      <c r="E158" s="92">
        <f t="shared" si="25"/>
        <v>238438.06177258227</v>
      </c>
      <c r="F158" s="92">
        <f t="shared" si="26"/>
        <v>243230.66681421117</v>
      </c>
      <c r="G158" s="92">
        <f t="shared" si="23"/>
        <v>240822.44239030921</v>
      </c>
    </row>
    <row r="159" spans="1:7">
      <c r="A159" s="91"/>
      <c r="B159" s="91" t="s">
        <v>223</v>
      </c>
      <c r="C159" s="92">
        <f t="shared" si="24"/>
        <v>240822.44239030921</v>
      </c>
      <c r="D159" s="92">
        <f t="shared" si="22"/>
        <v>2408.224423903092</v>
      </c>
      <c r="E159" s="92">
        <f t="shared" si="25"/>
        <v>240822.44239030808</v>
      </c>
      <c r="F159" s="92">
        <f t="shared" si="26"/>
        <v>243230.66681421117</v>
      </c>
      <c r="G159" s="92">
        <f t="shared" si="23"/>
        <v>1.1350493878126144E-9</v>
      </c>
    </row>
    <row r="166" spans="1:9" ht="17.5">
      <c r="A166" s="514" t="s">
        <v>559</v>
      </c>
      <c r="B166" s="514"/>
      <c r="C166" s="514"/>
      <c r="D166" s="514"/>
      <c r="E166" s="514"/>
      <c r="F166" s="514"/>
      <c r="G166" s="514"/>
      <c r="H166" s="514"/>
      <c r="I166" s="514"/>
    </row>
    <row r="167" spans="1:9" ht="16.5">
      <c r="A167" s="8"/>
      <c r="B167" s="8"/>
      <c r="C167" s="8"/>
      <c r="D167" s="8"/>
      <c r="E167" s="8"/>
      <c r="F167" s="8"/>
      <c r="G167" s="8"/>
      <c r="H167" s="8"/>
      <c r="I167" s="8"/>
    </row>
    <row r="168" spans="1:9" ht="15.5">
      <c r="A168" s="83" t="s">
        <v>29</v>
      </c>
      <c r="B168" s="84" t="s">
        <v>330</v>
      </c>
      <c r="C168" s="84" t="s">
        <v>2</v>
      </c>
      <c r="D168" s="84" t="s">
        <v>3</v>
      </c>
      <c r="E168" s="84" t="s">
        <v>4</v>
      </c>
      <c r="F168" s="84" t="s">
        <v>5</v>
      </c>
      <c r="G168" s="84" t="s">
        <v>6</v>
      </c>
      <c r="H168" s="84" t="s">
        <v>169</v>
      </c>
      <c r="I168" s="84" t="s">
        <v>168</v>
      </c>
    </row>
    <row r="169" spans="1:9">
      <c r="A169" s="85"/>
      <c r="B169" s="85"/>
      <c r="C169" s="85"/>
      <c r="D169" s="85"/>
      <c r="E169" s="85"/>
      <c r="F169" s="85"/>
      <c r="G169" s="85"/>
      <c r="H169" s="85"/>
      <c r="I169" s="85"/>
    </row>
    <row r="170" spans="1:9">
      <c r="A170" s="85" t="s">
        <v>371</v>
      </c>
      <c r="B170" s="85"/>
      <c r="C170" s="86">
        <f>B51</f>
        <v>2487178.4015395502</v>
      </c>
      <c r="D170" s="86">
        <f t="shared" ref="D170:I170" si="27">C51</f>
        <v>3326040.919096645</v>
      </c>
      <c r="E170" s="86">
        <f t="shared" si="27"/>
        <v>4263423.8974552024</v>
      </c>
      <c r="F170" s="86">
        <f t="shared" si="27"/>
        <v>5303282.9019786771</v>
      </c>
      <c r="G170" s="86">
        <f t="shared" si="27"/>
        <v>6452259.5683548218</v>
      </c>
      <c r="H170" s="86">
        <f t="shared" si="27"/>
        <v>7606612.0923608448</v>
      </c>
      <c r="I170" s="86">
        <f t="shared" si="27"/>
        <v>8855037.2753554955</v>
      </c>
    </row>
    <row r="171" spans="1:9">
      <c r="A171" s="85"/>
      <c r="B171" s="85"/>
      <c r="C171" s="86"/>
      <c r="D171" s="86"/>
      <c r="E171" s="86"/>
      <c r="F171" s="86"/>
      <c r="G171" s="86"/>
      <c r="H171" s="86"/>
      <c r="I171" s="86"/>
    </row>
    <row r="172" spans="1:9">
      <c r="A172" s="87" t="s">
        <v>31</v>
      </c>
      <c r="B172" s="87"/>
      <c r="C172" s="86">
        <f>B42</f>
        <v>1057184.3239</v>
      </c>
      <c r="D172" s="86">
        <f t="shared" ref="D172:I173" si="28">C42</f>
        <v>1057184.3239</v>
      </c>
      <c r="E172" s="86">
        <f t="shared" si="28"/>
        <v>1057184.3239</v>
      </c>
      <c r="F172" s="86">
        <f t="shared" si="28"/>
        <v>1057184.3239</v>
      </c>
      <c r="G172" s="86">
        <f t="shared" si="28"/>
        <v>1057184.3239</v>
      </c>
      <c r="H172" s="86">
        <f t="shared" si="28"/>
        <v>1057184.3239</v>
      </c>
      <c r="I172" s="86">
        <f t="shared" si="28"/>
        <v>1057184.3239</v>
      </c>
    </row>
    <row r="173" spans="1:9">
      <c r="A173" s="85" t="s">
        <v>36</v>
      </c>
      <c r="B173" s="85"/>
      <c r="C173" s="86">
        <f>B43</f>
        <v>24000</v>
      </c>
      <c r="D173" s="86">
        <f t="shared" si="28"/>
        <v>24000</v>
      </c>
      <c r="E173" s="86">
        <f t="shared" si="28"/>
        <v>24000</v>
      </c>
      <c r="F173" s="86">
        <f t="shared" si="28"/>
        <v>24000</v>
      </c>
      <c r="G173" s="86">
        <f t="shared" si="28"/>
        <v>24000</v>
      </c>
      <c r="H173" s="86">
        <f t="shared" si="28"/>
        <v>0</v>
      </c>
      <c r="I173" s="86">
        <f t="shared" si="28"/>
        <v>0</v>
      </c>
    </row>
    <row r="174" spans="1:9">
      <c r="A174" s="85"/>
      <c r="B174" s="85"/>
      <c r="C174" s="85"/>
      <c r="D174" s="85"/>
      <c r="E174" s="85"/>
      <c r="F174" s="85"/>
      <c r="G174" s="85"/>
      <c r="H174" s="85"/>
      <c r="I174" s="85"/>
    </row>
    <row r="175" spans="1:9">
      <c r="A175" s="85" t="s">
        <v>32</v>
      </c>
      <c r="B175" s="85"/>
      <c r="C175" s="86">
        <f>SUM(C170:C173)</f>
        <v>3568362.7254395504</v>
      </c>
      <c r="D175" s="86">
        <f t="shared" ref="D175:I175" si="29">SUM(D170:D173)</f>
        <v>4407225.2429966452</v>
      </c>
      <c r="E175" s="86">
        <f t="shared" si="29"/>
        <v>5344608.2213552026</v>
      </c>
      <c r="F175" s="86">
        <f t="shared" si="29"/>
        <v>6384467.2258786773</v>
      </c>
      <c r="G175" s="86">
        <f t="shared" si="29"/>
        <v>7533443.892254822</v>
      </c>
      <c r="H175" s="86">
        <f t="shared" si="29"/>
        <v>8663796.4162608441</v>
      </c>
      <c r="I175" s="86">
        <f t="shared" si="29"/>
        <v>9912221.5992554948</v>
      </c>
    </row>
    <row r="176" spans="1:9">
      <c r="A176" s="85" t="s">
        <v>339</v>
      </c>
      <c r="B176" s="88">
        <f>-'1.Project Cost and MOF'!M22+'1.Project Cost and MOF'!M19</f>
        <v>-16694195.882165805</v>
      </c>
      <c r="C176" s="86">
        <f>C175</f>
        <v>3568362.7254395504</v>
      </c>
      <c r="D176" s="86">
        <f t="shared" ref="D176:I176" si="30">D175</f>
        <v>4407225.2429966452</v>
      </c>
      <c r="E176" s="86">
        <f t="shared" si="30"/>
        <v>5344608.2213552026</v>
      </c>
      <c r="F176" s="86">
        <f t="shared" si="30"/>
        <v>6384467.2258786773</v>
      </c>
      <c r="G176" s="86">
        <f t="shared" si="30"/>
        <v>7533443.892254822</v>
      </c>
      <c r="H176" s="86">
        <f t="shared" si="30"/>
        <v>8663796.4162608441</v>
      </c>
      <c r="I176" s="86">
        <f t="shared" si="30"/>
        <v>9912221.5992554948</v>
      </c>
    </row>
    <row r="177" spans="1:9">
      <c r="A177" s="85" t="s">
        <v>278</v>
      </c>
      <c r="B177" s="255">
        <f>IRR(B176:I176)</f>
        <v>0.27237318773803909</v>
      </c>
      <c r="C177" s="86"/>
      <c r="D177" s="86"/>
      <c r="E177" s="86"/>
      <c r="F177" s="86"/>
      <c r="G177" s="86"/>
      <c r="H177" s="86"/>
      <c r="I177" s="86"/>
    </row>
    <row r="178" spans="1:9">
      <c r="A178" s="85"/>
      <c r="B178" s="85"/>
      <c r="C178" s="85"/>
      <c r="D178" s="85"/>
      <c r="E178" s="85"/>
      <c r="F178" s="85"/>
      <c r="G178" s="85"/>
      <c r="H178" s="85"/>
      <c r="I178" s="85"/>
    </row>
    <row r="179" spans="1:9" ht="16.5">
      <c r="A179" s="256" t="s">
        <v>398</v>
      </c>
      <c r="B179" s="256"/>
      <c r="C179" s="257">
        <f>1/(1+$B$177)</f>
        <v>0.78593293983013712</v>
      </c>
      <c r="D179" s="257">
        <f>C179/(1+$B$177)</f>
        <v>0.61769058591004189</v>
      </c>
      <c r="E179" s="257">
        <f>D179/(1+$B$177)</f>
        <v>0.4854633780896791</v>
      </c>
      <c r="F179" s="257">
        <f t="shared" ref="F179:I179" si="31">E179/(1+$B$177)</f>
        <v>0.38154165992189087</v>
      </c>
      <c r="G179" s="257">
        <f t="shared" si="31"/>
        <v>0.29986615845008208</v>
      </c>
      <c r="H179" s="257">
        <f t="shared" si="31"/>
        <v>0.2356746914662427</v>
      </c>
      <c r="I179" s="257">
        <f t="shared" si="31"/>
        <v>0.18522450310762464</v>
      </c>
    </row>
    <row r="180" spans="1:9">
      <c r="A180" s="85" t="s">
        <v>33</v>
      </c>
      <c r="B180" s="85"/>
      <c r="C180" s="86">
        <f t="shared" ref="C180:I180" si="32">C175*C179</f>
        <v>2804493.8071849863</v>
      </c>
      <c r="D180" s="86">
        <f t="shared" si="32"/>
        <v>2722301.5425841245</v>
      </c>
      <c r="E180" s="86">
        <f t="shared" si="32"/>
        <v>2594611.5617049681</v>
      </c>
      <c r="F180" s="86">
        <f t="shared" si="32"/>
        <v>2435940.2230786602</v>
      </c>
      <c r="G180" s="86">
        <f t="shared" si="32"/>
        <v>2259024.8798696874</v>
      </c>
      <c r="H180" s="86">
        <f t="shared" si="32"/>
        <v>2041837.5473286137</v>
      </c>
      <c r="I180" s="86">
        <f t="shared" si="32"/>
        <v>1835986.3204147634</v>
      </c>
    </row>
    <row r="181" spans="1:9">
      <c r="A181" s="85" t="s">
        <v>34</v>
      </c>
      <c r="B181" s="85"/>
      <c r="C181" s="521">
        <f>SUM(C180:I180)</f>
        <v>16694195.882165805</v>
      </c>
      <c r="D181" s="521"/>
      <c r="E181" s="521"/>
      <c r="F181" s="521"/>
      <c r="G181" s="521"/>
      <c r="H181" s="521"/>
      <c r="I181" s="521"/>
    </row>
    <row r="182" spans="1:9">
      <c r="A182" s="85"/>
      <c r="B182" s="85"/>
      <c r="C182" s="86"/>
      <c r="D182" s="86"/>
      <c r="E182" s="86"/>
      <c r="F182" s="86"/>
      <c r="G182" s="86"/>
      <c r="H182" s="86"/>
      <c r="I182" s="86"/>
    </row>
    <row r="183" spans="1:9">
      <c r="A183" s="381" t="s">
        <v>35</v>
      </c>
      <c r="B183" s="381"/>
      <c r="C183" s="550">
        <f>-B176</f>
        <v>16694195.882165805</v>
      </c>
      <c r="D183" s="550"/>
      <c r="E183" s="550"/>
      <c r="F183" s="550"/>
      <c r="G183" s="550"/>
      <c r="H183" s="550"/>
      <c r="I183" s="550"/>
    </row>
    <row r="184" spans="1:9">
      <c r="E184" s="17">
        <f>C181-C183</f>
        <v>0</v>
      </c>
    </row>
    <row r="185" spans="1:9">
      <c r="A185" s="515" t="s">
        <v>415</v>
      </c>
      <c r="B185" s="515"/>
      <c r="C185" s="515"/>
      <c r="D185" s="515"/>
      <c r="E185" s="515"/>
      <c r="F185" s="515"/>
      <c r="G185" s="515"/>
      <c r="H185" s="515"/>
      <c r="I185" s="515"/>
    </row>
    <row r="187" spans="1:9" ht="17.5">
      <c r="A187" s="473" t="s">
        <v>560</v>
      </c>
      <c r="B187" s="473"/>
      <c r="C187" s="473"/>
      <c r="D187" s="473"/>
      <c r="E187" s="473"/>
      <c r="F187" s="473"/>
      <c r="G187" s="473"/>
      <c r="H187" s="473"/>
    </row>
    <row r="189" spans="1:9">
      <c r="A189" s="109" t="s">
        <v>0</v>
      </c>
      <c r="B189" s="100" t="s">
        <v>2</v>
      </c>
      <c r="C189" s="100" t="s">
        <v>3</v>
      </c>
      <c r="D189" s="100" t="s">
        <v>4</v>
      </c>
      <c r="E189" s="100" t="s">
        <v>5</v>
      </c>
      <c r="F189" s="100" t="s">
        <v>6</v>
      </c>
      <c r="G189" s="100" t="s">
        <v>169</v>
      </c>
      <c r="H189" s="100" t="s">
        <v>168</v>
      </c>
    </row>
    <row r="190" spans="1:9">
      <c r="A190" s="91"/>
      <c r="B190" s="91"/>
      <c r="C190" s="91"/>
      <c r="D190" s="91"/>
      <c r="E190" s="91"/>
      <c r="F190" s="91"/>
      <c r="G190" s="91"/>
      <c r="H190" s="91"/>
    </row>
    <row r="191" spans="1:9">
      <c r="A191" s="91" t="s">
        <v>37</v>
      </c>
      <c r="B191" s="91"/>
      <c r="C191" s="91"/>
      <c r="D191" s="91"/>
      <c r="E191" s="91"/>
      <c r="F191" s="91"/>
      <c r="G191" s="91"/>
      <c r="H191" s="91"/>
    </row>
    <row r="192" spans="1:9">
      <c r="A192" s="91"/>
      <c r="B192" s="92"/>
      <c r="C192" s="92"/>
      <c r="D192" s="92"/>
      <c r="E192" s="92"/>
      <c r="F192" s="92"/>
      <c r="G192" s="92"/>
      <c r="H192" s="92"/>
    </row>
    <row r="193" spans="1:8">
      <c r="A193" s="106" t="str">
        <f>A8</f>
        <v>Faclitiy 1 - Cleaning &amp; Grading</v>
      </c>
      <c r="B193" s="92">
        <f t="shared" ref="B193:H193" si="33">B8</f>
        <v>58502886.999999993</v>
      </c>
      <c r="C193" s="92">
        <f t="shared" si="33"/>
        <v>70304651.418750003</v>
      </c>
      <c r="D193" s="92">
        <f t="shared" si="33"/>
        <v>82039565.849062502</v>
      </c>
      <c r="E193" s="92">
        <f t="shared" si="33"/>
        <v>94772210.093859389</v>
      </c>
      <c r="F193" s="92">
        <f t="shared" si="33"/>
        <v>108573019.84851332</v>
      </c>
      <c r="G193" s="92">
        <f t="shared" si="33"/>
        <v>123516980.05339798</v>
      </c>
      <c r="H193" s="92">
        <f t="shared" si="33"/>
        <v>139683903.72914979</v>
      </c>
    </row>
    <row r="194" spans="1:8">
      <c r="A194" s="106" t="str">
        <f t="shared" ref="A194:H198" si="34">A9</f>
        <v>Faclitiy 2 - Processing Unit- Dal Mill</v>
      </c>
      <c r="B194" s="92">
        <f t="shared" si="34"/>
        <v>0</v>
      </c>
      <c r="C194" s="92">
        <f t="shared" si="34"/>
        <v>0</v>
      </c>
      <c r="D194" s="92">
        <f t="shared" si="34"/>
        <v>0</v>
      </c>
      <c r="E194" s="92">
        <f t="shared" si="34"/>
        <v>0</v>
      </c>
      <c r="F194" s="92">
        <f t="shared" si="34"/>
        <v>0</v>
      </c>
      <c r="G194" s="92">
        <f t="shared" si="34"/>
        <v>0</v>
      </c>
      <c r="H194" s="92">
        <f t="shared" si="34"/>
        <v>0</v>
      </c>
    </row>
    <row r="195" spans="1:8">
      <c r="A195" s="106" t="str">
        <f t="shared" si="34"/>
        <v>Faclitiy 3 - Warehouse</v>
      </c>
      <c r="B195" s="92">
        <f t="shared" si="34"/>
        <v>2304000</v>
      </c>
      <c r="C195" s="92">
        <f t="shared" si="34"/>
        <v>2570400.0000000005</v>
      </c>
      <c r="D195" s="92">
        <f t="shared" si="34"/>
        <v>2857680.0000000005</v>
      </c>
      <c r="E195" s="92">
        <f t="shared" si="34"/>
        <v>3167262.0000000014</v>
      </c>
      <c r="F195" s="92">
        <f t="shared" si="34"/>
        <v>3500658.0000000019</v>
      </c>
      <c r="G195" s="92">
        <f t="shared" si="34"/>
        <v>3675690.9000000022</v>
      </c>
      <c r="H195" s="92">
        <f t="shared" si="34"/>
        <v>3859475.4450000026</v>
      </c>
    </row>
    <row r="196" spans="1:8">
      <c r="A196" s="106" t="str">
        <f t="shared" si="34"/>
        <v xml:space="preserve">Faclitiy 4 - Custom Hiring </v>
      </c>
      <c r="B196" s="92">
        <f t="shared" si="34"/>
        <v>0</v>
      </c>
      <c r="C196" s="92">
        <f t="shared" si="34"/>
        <v>0</v>
      </c>
      <c r="D196" s="92">
        <f t="shared" si="34"/>
        <v>0</v>
      </c>
      <c r="E196" s="92">
        <f t="shared" si="34"/>
        <v>0</v>
      </c>
      <c r="F196" s="92">
        <f t="shared" si="34"/>
        <v>0</v>
      </c>
      <c r="G196" s="92">
        <f t="shared" si="34"/>
        <v>0</v>
      </c>
      <c r="H196" s="92">
        <f t="shared" si="34"/>
        <v>0</v>
      </c>
    </row>
    <row r="197" spans="1:8">
      <c r="A197" s="106" t="str">
        <f t="shared" si="34"/>
        <v>Faclitiy 5 - Agri Input Centre</v>
      </c>
      <c r="B197" s="92">
        <f t="shared" si="34"/>
        <v>0</v>
      </c>
      <c r="C197" s="92">
        <f t="shared" si="34"/>
        <v>0</v>
      </c>
      <c r="D197" s="92">
        <f t="shared" si="34"/>
        <v>0</v>
      </c>
      <c r="E197" s="92">
        <f t="shared" si="34"/>
        <v>0</v>
      </c>
      <c r="F197" s="92">
        <f t="shared" si="34"/>
        <v>0</v>
      </c>
      <c r="G197" s="92">
        <f t="shared" si="34"/>
        <v>0</v>
      </c>
      <c r="H197" s="92">
        <f t="shared" si="34"/>
        <v>0</v>
      </c>
    </row>
    <row r="198" spans="1:8">
      <c r="A198" s="106" t="str">
        <f t="shared" si="34"/>
        <v>Facility 6 - Processing Unit - Horti Commodity</v>
      </c>
      <c r="B198" s="92">
        <f t="shared" si="34"/>
        <v>0</v>
      </c>
      <c r="C198" s="92">
        <f t="shared" si="34"/>
        <v>0</v>
      </c>
      <c r="D198" s="92">
        <f t="shared" si="34"/>
        <v>0</v>
      </c>
      <c r="E198" s="92">
        <f t="shared" si="34"/>
        <v>0</v>
      </c>
      <c r="F198" s="92">
        <f t="shared" si="34"/>
        <v>0</v>
      </c>
      <c r="G198" s="92">
        <f t="shared" si="34"/>
        <v>0</v>
      </c>
      <c r="H198" s="92">
        <f t="shared" si="34"/>
        <v>0</v>
      </c>
    </row>
    <row r="199" spans="1:8">
      <c r="A199" s="106"/>
      <c r="B199" s="106"/>
      <c r="C199" s="106"/>
      <c r="D199" s="106"/>
      <c r="E199" s="106"/>
      <c r="F199" s="106"/>
      <c r="G199" s="106"/>
      <c r="H199" s="106"/>
    </row>
    <row r="200" spans="1:8">
      <c r="A200" s="93" t="s">
        <v>8</v>
      </c>
      <c r="B200" s="111">
        <f>SUM(B193:B199)</f>
        <v>60806886.999999993</v>
      </c>
      <c r="C200" s="111">
        <f t="shared" ref="C200:H200" si="35">SUM(C193:C199)</f>
        <v>72875051.418750003</v>
      </c>
      <c r="D200" s="111">
        <f t="shared" si="35"/>
        <v>84897245.849062502</v>
      </c>
      <c r="E200" s="111">
        <f t="shared" si="35"/>
        <v>97939472.093859389</v>
      </c>
      <c r="F200" s="111">
        <f t="shared" si="35"/>
        <v>112073677.84851332</v>
      </c>
      <c r="G200" s="111">
        <f t="shared" si="35"/>
        <v>127192670.95339799</v>
      </c>
      <c r="H200" s="111">
        <f t="shared" si="35"/>
        <v>143543379.17414978</v>
      </c>
    </row>
    <row r="201" spans="1:8">
      <c r="A201" s="91"/>
      <c r="B201" s="92"/>
      <c r="C201" s="92"/>
      <c r="D201" s="92"/>
      <c r="E201" s="92"/>
      <c r="F201" s="92"/>
      <c r="G201" s="92"/>
      <c r="H201" s="92"/>
    </row>
    <row r="202" spans="1:8">
      <c r="A202" s="91" t="s">
        <v>38</v>
      </c>
      <c r="B202" s="92">
        <f>B25</f>
        <v>53780763.92946133</v>
      </c>
      <c r="C202" s="92">
        <f t="shared" ref="C202:H202" si="36">C25</f>
        <v>64538534.002481535</v>
      </c>
      <c r="D202" s="92">
        <f t="shared" si="36"/>
        <v>75240999.849302709</v>
      </c>
      <c r="E202" s="92">
        <f t="shared" si="36"/>
        <v>86852365.945799783</v>
      </c>
      <c r="F202" s="92">
        <f t="shared" si="36"/>
        <v>99436766.152323321</v>
      </c>
      <c r="G202" s="92">
        <f t="shared" si="36"/>
        <v>113053286.23738472</v>
      </c>
      <c r="H202" s="92">
        <f t="shared" si="36"/>
        <v>127782866.41557145</v>
      </c>
    </row>
    <row r="203" spans="1:8">
      <c r="A203" s="91"/>
      <c r="B203" s="92"/>
      <c r="C203" s="92"/>
      <c r="D203" s="92"/>
      <c r="E203" s="92"/>
      <c r="F203" s="92"/>
      <c r="G203" s="92"/>
      <c r="H203" s="92"/>
    </row>
    <row r="204" spans="1:8">
      <c r="A204" s="93" t="s">
        <v>39</v>
      </c>
      <c r="B204" s="111">
        <f>B200-B202</f>
        <v>7026123.0705386624</v>
      </c>
      <c r="C204" s="111">
        <f t="shared" ref="C204:H204" si="37">C200-C202</f>
        <v>8336517.4162684679</v>
      </c>
      <c r="D204" s="111">
        <f t="shared" si="37"/>
        <v>9656245.9997597933</v>
      </c>
      <c r="E204" s="111">
        <f t="shared" si="37"/>
        <v>11087106.148059607</v>
      </c>
      <c r="F204" s="111">
        <f t="shared" si="37"/>
        <v>12636911.69619</v>
      </c>
      <c r="G204" s="111">
        <f t="shared" si="37"/>
        <v>14139384.716013268</v>
      </c>
      <c r="H204" s="111">
        <f t="shared" si="37"/>
        <v>15760512.75857833</v>
      </c>
    </row>
    <row r="205" spans="1:8">
      <c r="A205" s="91"/>
      <c r="B205" s="92"/>
      <c r="C205" s="92"/>
      <c r="D205" s="92"/>
      <c r="E205" s="92"/>
      <c r="F205" s="92"/>
      <c r="G205" s="92"/>
      <c r="H205" s="92"/>
    </row>
    <row r="206" spans="1:8">
      <c r="A206" s="93" t="s">
        <v>41</v>
      </c>
      <c r="B206" s="111">
        <f>B36+B42+B43</f>
        <v>2634384.3239000002</v>
      </c>
      <c r="C206" s="111">
        <f t="shared" ref="C206:H206" si="38">C36+C42+C43</f>
        <v>2712044.3239000002</v>
      </c>
      <c r="D206" s="111">
        <f t="shared" si="38"/>
        <v>2793587.3239000002</v>
      </c>
      <c r="E206" s="111">
        <f t="shared" si="38"/>
        <v>2879207.4739000001</v>
      </c>
      <c r="F206" s="111">
        <f t="shared" si="38"/>
        <v>2969108.6314000003</v>
      </c>
      <c r="G206" s="111">
        <f t="shared" si="38"/>
        <v>3039504.8467750004</v>
      </c>
      <c r="H206" s="111">
        <f t="shared" si="38"/>
        <v>3138620.8729187511</v>
      </c>
    </row>
    <row r="207" spans="1:8">
      <c r="A207" s="91"/>
      <c r="B207" s="91"/>
      <c r="C207" s="91"/>
      <c r="D207" s="91"/>
      <c r="E207" s="91"/>
      <c r="F207" s="91"/>
      <c r="G207" s="91"/>
      <c r="H207" s="91"/>
    </row>
    <row r="208" spans="1:8">
      <c r="A208" s="91" t="s">
        <v>40</v>
      </c>
      <c r="B208" s="110">
        <f>B206/B204</f>
        <v>0.37494138623137346</v>
      </c>
      <c r="C208" s="110">
        <f>C206/C204</f>
        <v>0.32532101697616866</v>
      </c>
      <c r="D208" s="110">
        <f>D206/D204</f>
        <v>0.28930366148185255</v>
      </c>
      <c r="E208" s="110">
        <f>E206/E204</f>
        <v>0.25968971843963995</v>
      </c>
      <c r="F208" s="110">
        <f>F206/F204</f>
        <v>0.23495524086752778</v>
      </c>
      <c r="G208" s="110">
        <f t="shared" ref="G208:H208" si="39">G206/G204</f>
        <v>0.21496726398091934</v>
      </c>
      <c r="H208" s="110">
        <f t="shared" si="39"/>
        <v>0.19914459135921342</v>
      </c>
    </row>
    <row r="209" spans="1:9">
      <c r="A209" s="90"/>
      <c r="B209" s="90"/>
      <c r="C209" s="90"/>
      <c r="D209" s="90"/>
      <c r="E209" s="90"/>
      <c r="F209" s="90"/>
      <c r="G209" s="90"/>
      <c r="H209" s="90"/>
    </row>
    <row r="210" spans="1:9">
      <c r="A210" s="112" t="s">
        <v>134</v>
      </c>
      <c r="B210" s="113">
        <f>AVERAGE(B208:H208)</f>
        <v>0.27118898276238501</v>
      </c>
      <c r="C210" s="90"/>
      <c r="D210" s="90"/>
      <c r="E210" s="90"/>
      <c r="F210" s="90"/>
      <c r="G210" s="90"/>
      <c r="H210" s="90"/>
    </row>
    <row r="212" spans="1:9">
      <c r="A212" s="516" t="s">
        <v>416</v>
      </c>
      <c r="B212" s="516"/>
      <c r="C212" s="516"/>
      <c r="D212" s="516"/>
      <c r="E212" s="516"/>
      <c r="F212" s="516"/>
      <c r="G212" s="516"/>
      <c r="H212" s="516"/>
      <c r="I212" s="516"/>
    </row>
    <row r="215" spans="1:9" ht="17.5">
      <c r="A215" s="473" t="s">
        <v>561</v>
      </c>
      <c r="B215" s="473"/>
      <c r="C215" s="473"/>
      <c r="D215" s="473"/>
      <c r="E215" s="473"/>
      <c r="F215" s="473"/>
      <c r="G215" s="473"/>
      <c r="H215" s="473"/>
    </row>
    <row r="217" spans="1:9">
      <c r="A217" s="79" t="s">
        <v>29</v>
      </c>
      <c r="B217" s="80" t="s">
        <v>2</v>
      </c>
      <c r="C217" s="80" t="s">
        <v>3</v>
      </c>
      <c r="D217" s="80" t="s">
        <v>4</v>
      </c>
      <c r="E217" s="80" t="s">
        <v>5</v>
      </c>
      <c r="F217" s="80" t="s">
        <v>6</v>
      </c>
      <c r="G217" s="80" t="s">
        <v>169</v>
      </c>
      <c r="H217" s="80" t="s">
        <v>168</v>
      </c>
    </row>
    <row r="218" spans="1:9">
      <c r="A218" s="91"/>
      <c r="B218" s="91"/>
      <c r="C218" s="91"/>
      <c r="D218" s="91"/>
      <c r="E218" s="91"/>
      <c r="F218" s="91"/>
      <c r="G218" s="91"/>
      <c r="H218" s="91"/>
    </row>
    <row r="219" spans="1:9">
      <c r="A219" s="91" t="s">
        <v>371</v>
      </c>
      <c r="B219" s="325">
        <f>B51</f>
        <v>2487178.4015395502</v>
      </c>
      <c r="C219" s="325">
        <f t="shared" ref="C219:H219" si="40">C51</f>
        <v>3326040.919096645</v>
      </c>
      <c r="D219" s="325">
        <f t="shared" si="40"/>
        <v>4263423.8974552024</v>
      </c>
      <c r="E219" s="325">
        <f t="shared" si="40"/>
        <v>5303282.9019786771</v>
      </c>
      <c r="F219" s="325">
        <f t="shared" si="40"/>
        <v>6452259.5683548218</v>
      </c>
      <c r="G219" s="325">
        <f t="shared" si="40"/>
        <v>7606612.0923608448</v>
      </c>
      <c r="H219" s="325">
        <f t="shared" si="40"/>
        <v>8855037.2753554955</v>
      </c>
    </row>
    <row r="220" spans="1:9">
      <c r="A220" s="91"/>
      <c r="B220" s="325"/>
      <c r="C220" s="325"/>
      <c r="D220" s="325"/>
      <c r="E220" s="325"/>
      <c r="F220" s="325"/>
      <c r="G220" s="325"/>
      <c r="H220" s="325"/>
    </row>
    <row r="221" spans="1:9">
      <c r="A221" s="91" t="s">
        <v>42</v>
      </c>
      <c r="B221" s="325">
        <f>B42</f>
        <v>1057184.3239</v>
      </c>
      <c r="C221" s="325">
        <f t="shared" ref="C221:H222" si="41">C42</f>
        <v>1057184.3239</v>
      </c>
      <c r="D221" s="325">
        <f t="shared" si="41"/>
        <v>1057184.3239</v>
      </c>
      <c r="E221" s="325">
        <f t="shared" si="41"/>
        <v>1057184.3239</v>
      </c>
      <c r="F221" s="325">
        <f t="shared" si="41"/>
        <v>1057184.3239</v>
      </c>
      <c r="G221" s="325">
        <f t="shared" si="41"/>
        <v>1057184.3239</v>
      </c>
      <c r="H221" s="325">
        <f t="shared" si="41"/>
        <v>1057184.3239</v>
      </c>
    </row>
    <row r="222" spans="1:9">
      <c r="A222" s="105" t="s">
        <v>48</v>
      </c>
      <c r="B222" s="325">
        <f>B43</f>
        <v>24000</v>
      </c>
      <c r="C222" s="325">
        <f t="shared" si="41"/>
        <v>24000</v>
      </c>
      <c r="D222" s="325">
        <f t="shared" si="41"/>
        <v>24000</v>
      </c>
      <c r="E222" s="325">
        <f t="shared" si="41"/>
        <v>24000</v>
      </c>
      <c r="F222" s="325">
        <f t="shared" si="41"/>
        <v>24000</v>
      </c>
      <c r="G222" s="325">
        <f t="shared" si="41"/>
        <v>0</v>
      </c>
      <c r="H222" s="325">
        <f t="shared" si="41"/>
        <v>0</v>
      </c>
    </row>
    <row r="223" spans="1:9">
      <c r="A223" s="91"/>
      <c r="B223" s="325"/>
      <c r="C223" s="325"/>
      <c r="D223" s="325"/>
      <c r="E223" s="325"/>
      <c r="F223" s="325"/>
      <c r="G223" s="325"/>
      <c r="H223" s="325"/>
    </row>
    <row r="224" spans="1:9">
      <c r="A224" s="91" t="s">
        <v>32</v>
      </c>
      <c r="B224" s="325">
        <f>SUM(B219:B222)</f>
        <v>3568362.7254395504</v>
      </c>
      <c r="C224" s="325">
        <f t="shared" ref="C224:H224" si="42">SUM(C219:C222)</f>
        <v>4407225.2429966452</v>
      </c>
      <c r="D224" s="325">
        <f t="shared" si="42"/>
        <v>5344608.2213552026</v>
      </c>
      <c r="E224" s="325">
        <f t="shared" si="42"/>
        <v>6384467.2258786773</v>
      </c>
      <c r="F224" s="325">
        <f t="shared" si="42"/>
        <v>7533443.892254822</v>
      </c>
      <c r="G224" s="325">
        <f t="shared" si="42"/>
        <v>8663796.4162608441</v>
      </c>
      <c r="H224" s="325">
        <f t="shared" si="42"/>
        <v>9912221.5992554948</v>
      </c>
    </row>
    <row r="225" spans="1:9">
      <c r="A225" s="91"/>
      <c r="B225" s="91"/>
      <c r="C225" s="91"/>
      <c r="D225" s="91"/>
      <c r="E225" s="91"/>
      <c r="F225" s="91"/>
      <c r="G225" s="91"/>
      <c r="H225" s="91"/>
    </row>
    <row r="226" spans="1:9" ht="16.5">
      <c r="A226" s="11" t="s">
        <v>43</v>
      </c>
      <c r="B226" s="106">
        <f>1/1.1</f>
        <v>0.90909090909090906</v>
      </c>
      <c r="C226" s="106">
        <f t="shared" ref="C226:H226" si="43">B226/1.1</f>
        <v>0.82644628099173545</v>
      </c>
      <c r="D226" s="106">
        <f t="shared" si="43"/>
        <v>0.75131480090157765</v>
      </c>
      <c r="E226" s="106">
        <f t="shared" si="43"/>
        <v>0.68301345536507052</v>
      </c>
      <c r="F226" s="106">
        <f t="shared" si="43"/>
        <v>0.62092132305915493</v>
      </c>
      <c r="G226" s="106">
        <f t="shared" si="43"/>
        <v>0.56447393005377711</v>
      </c>
      <c r="H226" s="106">
        <f t="shared" si="43"/>
        <v>0.51315811823070645</v>
      </c>
    </row>
    <row r="227" spans="1:9">
      <c r="A227" s="91"/>
      <c r="B227" s="91"/>
      <c r="C227" s="91"/>
      <c r="D227" s="91"/>
      <c r="E227" s="91"/>
      <c r="F227" s="91"/>
      <c r="G227" s="91"/>
      <c r="H227" s="91"/>
    </row>
    <row r="228" spans="1:9" ht="16.5">
      <c r="A228" s="11" t="s">
        <v>44</v>
      </c>
      <c r="B228" s="92">
        <f>B224*B226</f>
        <v>3243966.1140359547</v>
      </c>
      <c r="C228" s="92">
        <f t="shared" ref="C228:H228" si="44">C224*C226</f>
        <v>3642334.9115674752</v>
      </c>
      <c r="D228" s="92">
        <f t="shared" si="44"/>
        <v>4015483.261724419</v>
      </c>
      <c r="E228" s="92">
        <f t="shared" si="44"/>
        <v>4360677.0206124419</v>
      </c>
      <c r="F228" s="92">
        <f t="shared" si="44"/>
        <v>4677675.9487707736</v>
      </c>
      <c r="G228" s="92">
        <f t="shared" si="44"/>
        <v>4890487.2122725882</v>
      </c>
      <c r="H228" s="92">
        <f t="shared" si="44"/>
        <v>5086536.9833597131</v>
      </c>
    </row>
    <row r="229" spans="1:9">
      <c r="A229" s="90"/>
      <c r="B229" s="108"/>
      <c r="C229" s="108"/>
      <c r="D229" s="108"/>
      <c r="E229" s="108"/>
      <c r="F229" s="108"/>
      <c r="G229" s="108"/>
      <c r="H229" s="108"/>
    </row>
    <row r="230" spans="1:9" ht="16.5">
      <c r="A230" s="12" t="s">
        <v>45</v>
      </c>
      <c r="B230" s="108">
        <f>SUM(B228:H228)</f>
        <v>29917161.452343363</v>
      </c>
      <c r="C230" s="108"/>
      <c r="D230" s="108"/>
      <c r="E230" s="108"/>
      <c r="F230" s="108"/>
      <c r="G230" s="108"/>
      <c r="H230" s="108"/>
    </row>
    <row r="231" spans="1:9">
      <c r="A231" s="90"/>
      <c r="B231" s="108"/>
      <c r="C231" s="108"/>
      <c r="D231" s="108"/>
      <c r="E231" s="108"/>
      <c r="F231" s="108"/>
      <c r="G231" s="108"/>
      <c r="H231" s="108"/>
    </row>
    <row r="232" spans="1:9" ht="16.5">
      <c r="A232" s="12" t="s">
        <v>46</v>
      </c>
      <c r="B232" s="108">
        <f>-B176</f>
        <v>16694195.882165805</v>
      </c>
      <c r="C232" s="108"/>
      <c r="D232" s="108"/>
      <c r="E232" s="108"/>
      <c r="F232" s="108"/>
      <c r="G232" s="108"/>
      <c r="H232" s="108"/>
    </row>
    <row r="233" spans="1:9">
      <c r="A233" s="90"/>
      <c r="B233" s="107"/>
      <c r="C233" s="90"/>
      <c r="D233" s="90"/>
      <c r="E233" s="90"/>
      <c r="F233" s="90"/>
      <c r="G233" s="90"/>
      <c r="H233" s="90"/>
    </row>
    <row r="234" spans="1:9" ht="16.5">
      <c r="A234" s="12" t="s">
        <v>47</v>
      </c>
      <c r="B234" s="107">
        <f>B230-B232</f>
        <v>13222965.570177559</v>
      </c>
      <c r="C234" s="90"/>
      <c r="D234" s="90"/>
      <c r="E234" s="90"/>
      <c r="F234" s="90"/>
      <c r="G234" s="90"/>
      <c r="H234" s="90"/>
    </row>
    <row r="236" spans="1:9">
      <c r="A236" s="507" t="s">
        <v>417</v>
      </c>
      <c r="B236" s="507"/>
      <c r="C236" s="507"/>
      <c r="D236" s="507"/>
      <c r="E236" s="507"/>
      <c r="F236" s="507"/>
      <c r="G236" s="507"/>
      <c r="H236" s="507"/>
      <c r="I236" s="507"/>
    </row>
    <row r="237" spans="1:9" ht="17.5">
      <c r="A237" s="473" t="s">
        <v>562</v>
      </c>
      <c r="B237" s="473"/>
      <c r="C237" s="473"/>
      <c r="D237" s="473"/>
      <c r="E237" s="473"/>
      <c r="F237" s="473"/>
      <c r="G237" s="473"/>
      <c r="H237" s="473"/>
    </row>
    <row r="238" spans="1:9">
      <c r="A238" s="90"/>
      <c r="B238" s="90"/>
      <c r="C238" s="90"/>
      <c r="D238" s="90"/>
      <c r="E238" s="90"/>
      <c r="F238" s="90"/>
      <c r="G238" s="90"/>
      <c r="H238" s="90"/>
    </row>
    <row r="239" spans="1:9" ht="15.5">
      <c r="A239" s="71" t="s">
        <v>0</v>
      </c>
      <c r="B239" s="71" t="s">
        <v>2</v>
      </c>
      <c r="C239" s="71" t="s">
        <v>3</v>
      </c>
      <c r="D239" s="71" t="s">
        <v>4</v>
      </c>
      <c r="E239" s="71" t="s">
        <v>5</v>
      </c>
      <c r="F239" s="71" t="s">
        <v>6</v>
      </c>
      <c r="G239" s="71" t="s">
        <v>169</v>
      </c>
      <c r="H239" s="71" t="s">
        <v>168</v>
      </c>
    </row>
    <row r="240" spans="1:9" ht="15.5">
      <c r="A240" s="68"/>
      <c r="B240" s="382"/>
      <c r="C240" s="382"/>
      <c r="D240" s="382"/>
      <c r="E240" s="382"/>
      <c r="F240" s="382"/>
      <c r="G240" s="382"/>
      <c r="H240" s="382"/>
    </row>
    <row r="241" spans="1:9">
      <c r="A241" s="93" t="s">
        <v>27</v>
      </c>
      <c r="B241" s="92">
        <f>B51</f>
        <v>2487178.4015395502</v>
      </c>
      <c r="C241" s="92">
        <f t="shared" ref="C241:H241" si="45">C51</f>
        <v>3326040.919096645</v>
      </c>
      <c r="D241" s="92">
        <f t="shared" si="45"/>
        <v>4263423.8974552024</v>
      </c>
      <c r="E241" s="92">
        <f t="shared" si="45"/>
        <v>5303282.9019786771</v>
      </c>
      <c r="F241" s="92">
        <f t="shared" si="45"/>
        <v>6452259.5683548218</v>
      </c>
      <c r="G241" s="92">
        <f t="shared" si="45"/>
        <v>7606612.0923608448</v>
      </c>
      <c r="H241" s="92">
        <f t="shared" si="45"/>
        <v>8855037.2753554955</v>
      </c>
    </row>
    <row r="242" spans="1:9">
      <c r="A242" s="91"/>
      <c r="B242" s="91"/>
      <c r="C242" s="91"/>
      <c r="D242" s="91"/>
      <c r="E242" s="91"/>
      <c r="F242" s="91"/>
      <c r="G242" s="91"/>
      <c r="H242" s="91"/>
    </row>
    <row r="243" spans="1:9">
      <c r="A243" s="93" t="s">
        <v>124</v>
      </c>
      <c r="B243" s="524">
        <f>AVERAGE(B241:H241)</f>
        <v>5470547.8651630338</v>
      </c>
      <c r="C243" s="524"/>
      <c r="D243" s="524"/>
      <c r="E243" s="524"/>
      <c r="F243" s="524"/>
      <c r="G243" s="524"/>
      <c r="H243" s="524"/>
    </row>
    <row r="244" spans="1:9">
      <c r="A244" s="93" t="s">
        <v>125</v>
      </c>
      <c r="B244" s="524">
        <f>B232</f>
        <v>16694195.882165805</v>
      </c>
      <c r="C244" s="524"/>
      <c r="D244" s="524"/>
      <c r="E244" s="524"/>
      <c r="F244" s="524"/>
      <c r="G244" s="524"/>
      <c r="H244" s="524"/>
    </row>
    <row r="245" spans="1:9">
      <c r="A245" s="91"/>
      <c r="B245" s="91"/>
      <c r="C245" s="91"/>
      <c r="D245" s="91"/>
      <c r="E245" s="91"/>
      <c r="F245" s="91"/>
      <c r="G245" s="91"/>
      <c r="H245" s="91"/>
    </row>
    <row r="246" spans="1:9">
      <c r="A246" s="254" t="s">
        <v>126</v>
      </c>
      <c r="B246" s="525">
        <f>B243/B244</f>
        <v>0.32769160633889233</v>
      </c>
      <c r="C246" s="525"/>
      <c r="D246" s="525"/>
      <c r="E246" s="525"/>
      <c r="F246" s="525"/>
      <c r="G246" s="525"/>
      <c r="H246" s="525"/>
    </row>
    <row r="249" spans="1:9">
      <c r="A249" s="523" t="s">
        <v>418</v>
      </c>
      <c r="B249" s="523"/>
      <c r="C249" s="523"/>
      <c r="D249" s="523"/>
      <c r="E249" s="523"/>
      <c r="F249" s="523"/>
      <c r="G249" s="523"/>
      <c r="H249" s="523"/>
    </row>
    <row r="251" spans="1:9" ht="17.5">
      <c r="A251" s="473" t="s">
        <v>563</v>
      </c>
      <c r="B251" s="473"/>
      <c r="C251" s="473"/>
      <c r="D251" s="473"/>
      <c r="E251" s="473"/>
      <c r="F251" s="473"/>
      <c r="G251" s="473"/>
      <c r="H251" s="473"/>
      <c r="I251" s="473"/>
    </row>
    <row r="253" spans="1:9">
      <c r="A253" s="100" t="s">
        <v>0</v>
      </c>
      <c r="B253" s="100" t="s">
        <v>330</v>
      </c>
      <c r="C253" s="100" t="s">
        <v>2</v>
      </c>
      <c r="D253" s="100" t="s">
        <v>3</v>
      </c>
      <c r="E253" s="100" t="s">
        <v>4</v>
      </c>
      <c r="F253" s="100" t="s">
        <v>5</v>
      </c>
      <c r="G253" s="100" t="s">
        <v>6</v>
      </c>
      <c r="H253" s="100" t="s">
        <v>169</v>
      </c>
      <c r="I253" s="100" t="s">
        <v>168</v>
      </c>
    </row>
    <row r="254" spans="1:9">
      <c r="A254" s="101"/>
      <c r="B254" s="101"/>
      <c r="C254" s="383"/>
      <c r="D254" s="383"/>
      <c r="E254" s="383"/>
      <c r="F254" s="383"/>
      <c r="G254" s="383"/>
      <c r="H254" s="383"/>
      <c r="I254" s="383"/>
    </row>
    <row r="255" spans="1:9">
      <c r="A255" s="10" t="s">
        <v>279</v>
      </c>
      <c r="B255" s="103">
        <f>B244</f>
        <v>16694195.882165805</v>
      </c>
      <c r="C255" s="383"/>
      <c r="D255" s="383"/>
      <c r="E255" s="383"/>
      <c r="F255" s="383"/>
      <c r="G255" s="383"/>
      <c r="H255" s="383"/>
      <c r="I255" s="383"/>
    </row>
    <row r="256" spans="1:9">
      <c r="A256" s="10" t="str">
        <f>A219</f>
        <v>Profit after Tax &amp; Dividend</v>
      </c>
      <c r="B256" s="10"/>
      <c r="C256" s="26">
        <f>B51</f>
        <v>2487178.4015395502</v>
      </c>
      <c r="D256" s="26">
        <f t="shared" ref="D256:I256" si="46">C51</f>
        <v>3326040.919096645</v>
      </c>
      <c r="E256" s="26">
        <f t="shared" si="46"/>
        <v>4263423.8974552024</v>
      </c>
      <c r="F256" s="26">
        <f t="shared" si="46"/>
        <v>5303282.9019786771</v>
      </c>
      <c r="G256" s="26">
        <f t="shared" si="46"/>
        <v>6452259.5683548218</v>
      </c>
      <c r="H256" s="26">
        <f t="shared" si="46"/>
        <v>7606612.0923608448</v>
      </c>
      <c r="I256" s="26">
        <f t="shared" si="46"/>
        <v>8855037.2753554955</v>
      </c>
    </row>
    <row r="257" spans="1:9">
      <c r="A257" s="10" t="str">
        <f>A221</f>
        <v>Add: Deprication</v>
      </c>
      <c r="B257" s="10"/>
      <c r="C257" s="89">
        <f>B42</f>
        <v>1057184.3239</v>
      </c>
      <c r="D257" s="89">
        <f t="shared" ref="D257:I258" si="47">C42</f>
        <v>1057184.3239</v>
      </c>
      <c r="E257" s="89">
        <f t="shared" si="47"/>
        <v>1057184.3239</v>
      </c>
      <c r="F257" s="89">
        <f t="shared" si="47"/>
        <v>1057184.3239</v>
      </c>
      <c r="G257" s="89">
        <f t="shared" si="47"/>
        <v>1057184.3239</v>
      </c>
      <c r="H257" s="89">
        <f t="shared" si="47"/>
        <v>1057184.3239</v>
      </c>
      <c r="I257" s="89">
        <f t="shared" si="47"/>
        <v>1057184.3239</v>
      </c>
    </row>
    <row r="258" spans="1:9">
      <c r="A258" s="10" t="str">
        <f>A222</f>
        <v>Add. Preliminary exp Written off</v>
      </c>
      <c r="B258" s="10"/>
      <c r="C258" s="89">
        <f>B43</f>
        <v>24000</v>
      </c>
      <c r="D258" s="89">
        <f t="shared" si="47"/>
        <v>24000</v>
      </c>
      <c r="E258" s="89">
        <f t="shared" si="47"/>
        <v>24000</v>
      </c>
      <c r="F258" s="89">
        <f t="shared" si="47"/>
        <v>24000</v>
      </c>
      <c r="G258" s="89">
        <f t="shared" si="47"/>
        <v>24000</v>
      </c>
      <c r="H258" s="89">
        <f t="shared" si="47"/>
        <v>0</v>
      </c>
      <c r="I258" s="89">
        <f t="shared" si="47"/>
        <v>0</v>
      </c>
    </row>
    <row r="259" spans="1:9">
      <c r="A259" s="10" t="str">
        <f>A224</f>
        <v xml:space="preserve">Net Cash Accrual (A)      </v>
      </c>
      <c r="B259" s="10"/>
      <c r="C259" s="384">
        <f>SUM(C256:C258)</f>
        <v>3568362.7254395504</v>
      </c>
      <c r="D259" s="384">
        <f t="shared" ref="D259:I259" si="48">SUM(D256:D258)</f>
        <v>4407225.2429966452</v>
      </c>
      <c r="E259" s="384">
        <f t="shared" si="48"/>
        <v>5344608.2213552026</v>
      </c>
      <c r="F259" s="384">
        <f t="shared" si="48"/>
        <v>6384467.2258786773</v>
      </c>
      <c r="G259" s="384">
        <f t="shared" si="48"/>
        <v>7533443.892254822</v>
      </c>
      <c r="H259" s="384">
        <f t="shared" si="48"/>
        <v>8663796.4162608441</v>
      </c>
      <c r="I259" s="384">
        <f t="shared" si="48"/>
        <v>9912221.5992554948</v>
      </c>
    </row>
    <row r="260" spans="1:9">
      <c r="A260" s="10" t="s">
        <v>280</v>
      </c>
      <c r="B260" s="385"/>
      <c r="C260" s="70">
        <f>C259-B255</f>
        <v>-13125833.156726254</v>
      </c>
      <c r="D260" s="70">
        <f>C260+D259</f>
        <v>-8718607.9137296081</v>
      </c>
      <c r="E260" s="70">
        <f>D260+E259</f>
        <v>-3373999.6923744055</v>
      </c>
      <c r="F260" s="70">
        <f>E260+F259</f>
        <v>3010467.5335042719</v>
      </c>
      <c r="G260" s="70">
        <f>F260+G259</f>
        <v>10543911.425759094</v>
      </c>
      <c r="H260" s="70">
        <f t="shared" ref="H260:I260" si="49">G260+H259</f>
        <v>19207707.842019938</v>
      </c>
      <c r="I260" s="70">
        <f t="shared" si="49"/>
        <v>29119929.441275433</v>
      </c>
    </row>
    <row r="262" spans="1:9">
      <c r="A262" s="5" t="s">
        <v>281</v>
      </c>
      <c r="C262" s="63">
        <f>4+(-F260/G259)</f>
        <v>3.6003862806226841</v>
      </c>
    </row>
    <row r="264" spans="1:9">
      <c r="A264" s="523" t="s">
        <v>419</v>
      </c>
      <c r="B264" s="523"/>
      <c r="C264" s="523"/>
      <c r="D264" s="523"/>
      <c r="E264" s="523"/>
      <c r="F264" s="523"/>
      <c r="G264" s="523"/>
      <c r="H264" s="523"/>
      <c r="I264" s="523"/>
    </row>
    <row r="266" spans="1:9" ht="17.5">
      <c r="A266" s="473" t="s">
        <v>564</v>
      </c>
      <c r="B266" s="473"/>
      <c r="C266" s="473"/>
      <c r="D266" s="473"/>
      <c r="E266" s="473"/>
      <c r="F266" s="473"/>
      <c r="G266" s="473"/>
      <c r="H266" s="473"/>
    </row>
    <row r="268" spans="1:9" ht="15.5">
      <c r="A268" s="71" t="s">
        <v>0</v>
      </c>
      <c r="B268" s="71" t="s">
        <v>2</v>
      </c>
      <c r="C268" s="71" t="s">
        <v>3</v>
      </c>
      <c r="D268" s="71" t="s">
        <v>4</v>
      </c>
      <c r="E268" s="71" t="s">
        <v>5</v>
      </c>
      <c r="F268" s="71" t="s">
        <v>6</v>
      </c>
      <c r="G268" s="71" t="s">
        <v>169</v>
      </c>
      <c r="H268" s="71" t="s">
        <v>168</v>
      </c>
    </row>
    <row r="269" spans="1:9" ht="15.5">
      <c r="A269" s="68"/>
      <c r="B269" s="382"/>
      <c r="C269" s="382"/>
      <c r="D269" s="382"/>
      <c r="E269" s="382"/>
      <c r="F269" s="382"/>
      <c r="G269" s="382"/>
      <c r="H269" s="382"/>
    </row>
    <row r="270" spans="1:9">
      <c r="A270" s="91" t="s">
        <v>333</v>
      </c>
      <c r="B270" s="92">
        <f>B40</f>
        <v>5472923.0705386624</v>
      </c>
      <c r="C270" s="92">
        <f t="shared" ref="C270:H270" si="50">C40</f>
        <v>6705657.4162684679</v>
      </c>
      <c r="D270" s="92">
        <f t="shared" si="50"/>
        <v>7943842.9997597933</v>
      </c>
      <c r="E270" s="92">
        <f t="shared" si="50"/>
        <v>9289082.9980596006</v>
      </c>
      <c r="F270" s="92">
        <f t="shared" si="50"/>
        <v>10748987.388689995</v>
      </c>
      <c r="G270" s="92">
        <f t="shared" si="50"/>
        <v>12157064.193138272</v>
      </c>
      <c r="H270" s="92">
        <f t="shared" si="50"/>
        <v>13679076.209559575</v>
      </c>
    </row>
    <row r="271" spans="1:9">
      <c r="A271" s="91" t="s">
        <v>343</v>
      </c>
      <c r="B271" s="92">
        <f>B42</f>
        <v>1057184.3239</v>
      </c>
      <c r="C271" s="92">
        <f t="shared" ref="C271:H272" si="51">C42</f>
        <v>1057184.3239</v>
      </c>
      <c r="D271" s="92">
        <f t="shared" si="51"/>
        <v>1057184.3239</v>
      </c>
      <c r="E271" s="92">
        <f t="shared" si="51"/>
        <v>1057184.3239</v>
      </c>
      <c r="F271" s="92">
        <f t="shared" si="51"/>
        <v>1057184.3239</v>
      </c>
      <c r="G271" s="92">
        <f t="shared" si="51"/>
        <v>1057184.3239</v>
      </c>
      <c r="H271" s="92">
        <f t="shared" si="51"/>
        <v>1057184.3239</v>
      </c>
    </row>
    <row r="272" spans="1:9">
      <c r="A272" s="91" t="s">
        <v>344</v>
      </c>
      <c r="B272" s="92">
        <f>B43</f>
        <v>24000</v>
      </c>
      <c r="C272" s="92">
        <f t="shared" si="51"/>
        <v>24000</v>
      </c>
      <c r="D272" s="92">
        <f t="shared" si="51"/>
        <v>24000</v>
      </c>
      <c r="E272" s="92">
        <f t="shared" si="51"/>
        <v>24000</v>
      </c>
      <c r="F272" s="92">
        <f t="shared" si="51"/>
        <v>24000</v>
      </c>
      <c r="G272" s="92">
        <f t="shared" si="51"/>
        <v>0</v>
      </c>
      <c r="H272" s="92">
        <f t="shared" si="51"/>
        <v>0</v>
      </c>
    </row>
    <row r="273" spans="1:9">
      <c r="A273" s="91" t="s">
        <v>345</v>
      </c>
      <c r="B273" s="92">
        <f>SUM(D76:D87)</f>
        <v>1558578.3248947142</v>
      </c>
      <c r="C273" s="92">
        <f>SUM(D88:D99)</f>
        <v>1411868.1427654254</v>
      </c>
      <c r="D273" s="92">
        <f>SUM(D100:D111)</f>
        <v>1220755.5227412421</v>
      </c>
      <c r="E273" s="92">
        <f>SUM(D112:D123)</f>
        <v>1005405.0389238913</v>
      </c>
      <c r="F273" s="92">
        <f>SUM(D124:D135)</f>
        <v>762742.72350747092</v>
      </c>
      <c r="G273" s="92">
        <f>SUM(D136:D147)</f>
        <v>489304.75262646953</v>
      </c>
      <c r="H273" s="92">
        <f>SUM(D148:D159)</f>
        <v>181188.00284926043</v>
      </c>
    </row>
    <row r="274" spans="1:9">
      <c r="A274" s="93" t="s">
        <v>1</v>
      </c>
      <c r="B274" s="94">
        <f>SUM(B270:B273)</f>
        <v>8112685.7193333767</v>
      </c>
      <c r="C274" s="94">
        <f t="shared" ref="C274:H274" si="52">SUM(C270:C273)</f>
        <v>9198709.8829338942</v>
      </c>
      <c r="D274" s="94">
        <f t="shared" si="52"/>
        <v>10245782.846401034</v>
      </c>
      <c r="E274" s="94">
        <f t="shared" si="52"/>
        <v>11375672.360883491</v>
      </c>
      <c r="F274" s="94">
        <f t="shared" si="52"/>
        <v>12592914.436097465</v>
      </c>
      <c r="G274" s="94">
        <f t="shared" si="52"/>
        <v>13703553.26966474</v>
      </c>
      <c r="H274" s="94">
        <f t="shared" si="52"/>
        <v>14917448.536308834</v>
      </c>
    </row>
    <row r="275" spans="1:9">
      <c r="A275" s="91"/>
      <c r="B275" s="91"/>
      <c r="C275" s="91"/>
      <c r="D275" s="91"/>
      <c r="E275" s="91"/>
      <c r="F275" s="91"/>
      <c r="G275" s="91"/>
      <c r="H275" s="91"/>
    </row>
    <row r="276" spans="1:9">
      <c r="A276" s="91" t="s">
        <v>282</v>
      </c>
      <c r="B276" s="96">
        <f>SUM(F76:F87)</f>
        <v>2247180.7776852674</v>
      </c>
      <c r="C276" s="96">
        <f>SUM(F88:F99)</f>
        <v>2918768.001770535</v>
      </c>
      <c r="D276" s="96">
        <f>SUM(F100:F111)</f>
        <v>2918768.001770535</v>
      </c>
      <c r="E276" s="96">
        <f>SUM(F112:F123)</f>
        <v>2918768.001770535</v>
      </c>
      <c r="F276" s="96">
        <f>SUM(F124:F135)</f>
        <v>2918768.001770535</v>
      </c>
      <c r="G276" s="96">
        <f>SUM(F136:F147)</f>
        <v>2918768.001770535</v>
      </c>
      <c r="H276" s="96">
        <f>SUM(F148:F159)</f>
        <v>2918768.001770535</v>
      </c>
    </row>
    <row r="277" spans="1:9">
      <c r="A277" s="91"/>
      <c r="B277" s="91"/>
      <c r="C277" s="91"/>
      <c r="D277" s="91"/>
      <c r="E277" s="91"/>
      <c r="F277" s="91"/>
      <c r="G277" s="91"/>
      <c r="H277" s="91"/>
    </row>
    <row r="278" spans="1:9">
      <c r="A278" s="93" t="s">
        <v>331</v>
      </c>
      <c r="B278" s="98">
        <f>B274/B276</f>
        <v>3.6101615855267042</v>
      </c>
      <c r="C278" s="98">
        <f t="shared" ref="C278:H278" si="53">C274/C276</f>
        <v>3.1515728133767138</v>
      </c>
      <c r="D278" s="98">
        <f t="shared" si="53"/>
        <v>3.5103108024296228</v>
      </c>
      <c r="E278" s="98">
        <f t="shared" si="53"/>
        <v>3.8974225954179871</v>
      </c>
      <c r="F278" s="98">
        <f t="shared" si="53"/>
        <v>4.3144622760214446</v>
      </c>
      <c r="G278" s="98">
        <f t="shared" si="53"/>
        <v>4.6949785873190732</v>
      </c>
      <c r="H278" s="98">
        <f t="shared" si="53"/>
        <v>5.1108716168122497</v>
      </c>
    </row>
    <row r="279" spans="1:9">
      <c r="A279" s="90"/>
      <c r="B279" s="90"/>
      <c r="C279" s="90"/>
      <c r="D279" s="90"/>
      <c r="E279" s="90"/>
      <c r="F279" s="90"/>
      <c r="G279" s="90"/>
      <c r="H279" s="90"/>
    </row>
    <row r="280" spans="1:9">
      <c r="A280" s="112" t="s">
        <v>332</v>
      </c>
      <c r="B280" s="389">
        <f>AVERAGE(B278:H278)</f>
        <v>4.041397182414828</v>
      </c>
      <c r="C280" s="90"/>
      <c r="D280" s="90"/>
      <c r="E280" s="90"/>
      <c r="F280" s="90"/>
      <c r="G280" s="90"/>
      <c r="H280" s="90"/>
    </row>
    <row r="282" spans="1:9">
      <c r="A282" s="507" t="s">
        <v>420</v>
      </c>
      <c r="B282" s="507"/>
      <c r="C282" s="507"/>
      <c r="D282" s="507"/>
      <c r="E282" s="507"/>
      <c r="F282" s="507"/>
      <c r="G282" s="507"/>
      <c r="H282" s="507"/>
      <c r="I282" s="507"/>
    </row>
  </sheetData>
  <mergeCells count="21">
    <mergeCell ref="A236:I236"/>
    <mergeCell ref="A2:H2"/>
    <mergeCell ref="A54:H54"/>
    <mergeCell ref="A66:H66"/>
    <mergeCell ref="A68:G68"/>
    <mergeCell ref="A166:I166"/>
    <mergeCell ref="C181:I181"/>
    <mergeCell ref="C183:I183"/>
    <mergeCell ref="A185:I185"/>
    <mergeCell ref="A187:H187"/>
    <mergeCell ref="A212:I212"/>
    <mergeCell ref="A215:H215"/>
    <mergeCell ref="A264:I264"/>
    <mergeCell ref="A266:H266"/>
    <mergeCell ref="A282:I282"/>
    <mergeCell ref="A237:H237"/>
    <mergeCell ref="B243:H243"/>
    <mergeCell ref="B244:H244"/>
    <mergeCell ref="B246:H246"/>
    <mergeCell ref="A249:H249"/>
    <mergeCell ref="A251:I251"/>
  </mergeCells>
  <hyperlinks>
    <hyperlink ref="A185" r:id="rId1" display="https://www.investopedia.com/terms/d/discountrate.asp" xr:uid="{05D78EB3-4B6E-4C9A-8033-9B2A6AFD6DE3}"/>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381E8-1462-4D02-AEB9-A0EC1FD3844B}">
  <dimension ref="B2:X26"/>
  <sheetViews>
    <sheetView workbookViewId="0">
      <selection activeCell="C3" sqref="C2:C3"/>
    </sheetView>
  </sheetViews>
  <sheetFormatPr defaultRowHeight="14.5"/>
  <cols>
    <col min="2" max="2" width="33.08984375" bestFit="1" customWidth="1"/>
    <col min="3" max="3" width="12.26953125" bestFit="1" customWidth="1"/>
    <col min="4" max="4" width="13.7265625" bestFit="1" customWidth="1"/>
    <col min="5" max="9" width="11.7265625" bestFit="1" customWidth="1"/>
    <col min="11" max="11" width="30.81640625" hidden="1" customWidth="1"/>
    <col min="12" max="18" width="11.54296875" hidden="1" customWidth="1"/>
  </cols>
  <sheetData>
    <row r="2" spans="2:24">
      <c r="B2" t="s">
        <v>161</v>
      </c>
      <c r="D2" t="s">
        <v>743</v>
      </c>
      <c r="K2" t="s">
        <v>161</v>
      </c>
      <c r="L2">
        <v>0</v>
      </c>
      <c r="M2" t="s">
        <v>743</v>
      </c>
    </row>
    <row r="3" spans="2:24">
      <c r="B3" t="s">
        <v>712</v>
      </c>
      <c r="K3" t="s">
        <v>712</v>
      </c>
      <c r="L3">
        <v>8</v>
      </c>
      <c r="V3">
        <v>300</v>
      </c>
      <c r="W3">
        <v>25</v>
      </c>
    </row>
    <row r="4" spans="2:24">
      <c r="B4" t="s">
        <v>713</v>
      </c>
      <c r="C4">
        <v>250</v>
      </c>
      <c r="K4" t="s">
        <v>713</v>
      </c>
      <c r="L4">
        <v>240</v>
      </c>
      <c r="V4">
        <v>1000</v>
      </c>
      <c r="W4">
        <v>760</v>
      </c>
      <c r="X4">
        <f>V4-W4</f>
        <v>240</v>
      </c>
    </row>
    <row r="5" spans="2:24">
      <c r="V5">
        <f>V4*2</f>
        <v>2000</v>
      </c>
    </row>
    <row r="6" spans="2:24">
      <c r="V6">
        <f>V5*1</f>
        <v>2000</v>
      </c>
    </row>
    <row r="7" spans="2:24">
      <c r="B7" s="390" t="s">
        <v>0</v>
      </c>
      <c r="C7" s="391" t="s">
        <v>2</v>
      </c>
      <c r="D7" s="391" t="s">
        <v>3</v>
      </c>
      <c r="E7" s="391" t="s">
        <v>4</v>
      </c>
      <c r="F7" s="391" t="s">
        <v>5</v>
      </c>
      <c r="G7" s="391" t="s">
        <v>6</v>
      </c>
      <c r="H7" s="391" t="s">
        <v>6</v>
      </c>
      <c r="I7" s="391" t="s">
        <v>6</v>
      </c>
      <c r="K7" s="392" t="s">
        <v>0</v>
      </c>
      <c r="L7" s="393" t="s">
        <v>2</v>
      </c>
      <c r="M7" s="393" t="s">
        <v>3</v>
      </c>
      <c r="N7" s="393" t="s">
        <v>4</v>
      </c>
      <c r="O7" s="393" t="s">
        <v>5</v>
      </c>
      <c r="P7" s="393" t="s">
        <v>6</v>
      </c>
      <c r="Q7" s="393" t="s">
        <v>6</v>
      </c>
      <c r="R7" s="393" t="s">
        <v>6</v>
      </c>
    </row>
    <row r="8" spans="2:24">
      <c r="B8" s="2" t="s">
        <v>714</v>
      </c>
      <c r="C8" s="394">
        <v>0.6</v>
      </c>
      <c r="D8" s="394">
        <f>C8+0.05</f>
        <v>0.65</v>
      </c>
      <c r="E8" s="394">
        <f t="shared" ref="E8:I8" si="0">D8+0.05</f>
        <v>0.70000000000000007</v>
      </c>
      <c r="F8" s="394">
        <f t="shared" si="0"/>
        <v>0.75000000000000011</v>
      </c>
      <c r="G8" s="394">
        <f t="shared" si="0"/>
        <v>0.80000000000000016</v>
      </c>
      <c r="H8" s="394">
        <f t="shared" si="0"/>
        <v>0.8500000000000002</v>
      </c>
      <c r="I8" s="394">
        <f t="shared" si="0"/>
        <v>0.90000000000000024</v>
      </c>
      <c r="K8" s="10" t="s">
        <v>714</v>
      </c>
      <c r="L8" s="309">
        <v>0.5</v>
      </c>
      <c r="M8" s="309">
        <v>0.55000000000000004</v>
      </c>
      <c r="N8" s="309">
        <v>0.60000000000000009</v>
      </c>
      <c r="O8" s="309">
        <v>0.65000000000000013</v>
      </c>
      <c r="P8" s="309">
        <v>0.70000000000000018</v>
      </c>
      <c r="Q8" s="309">
        <v>0.75000000000000022</v>
      </c>
      <c r="R8" s="309">
        <v>0.80000000000000027</v>
      </c>
    </row>
    <row r="9" spans="2:24">
      <c r="B9" s="10" t="s">
        <v>715</v>
      </c>
      <c r="C9" s="10">
        <f>C8*$C$4</f>
        <v>150</v>
      </c>
      <c r="D9" s="10">
        <f t="shared" ref="D9:G9" si="1">D8*$C$4</f>
        <v>162.5</v>
      </c>
      <c r="E9" s="10">
        <f t="shared" si="1"/>
        <v>175.00000000000003</v>
      </c>
      <c r="F9" s="10">
        <f t="shared" si="1"/>
        <v>187.50000000000003</v>
      </c>
      <c r="G9" s="10">
        <f t="shared" si="1"/>
        <v>200.00000000000003</v>
      </c>
      <c r="H9" s="10">
        <f t="shared" ref="H9:I9" si="2">H8*$C$4</f>
        <v>212.50000000000006</v>
      </c>
      <c r="I9" s="10">
        <f t="shared" si="2"/>
        <v>225.00000000000006</v>
      </c>
      <c r="K9" s="10" t="s">
        <v>715</v>
      </c>
      <c r="L9" s="10">
        <f>$L$4*L8</f>
        <v>120</v>
      </c>
      <c r="M9" s="10">
        <f t="shared" ref="M9:R9" si="3">$L$4*M8</f>
        <v>132</v>
      </c>
      <c r="N9" s="10">
        <f t="shared" si="3"/>
        <v>144.00000000000003</v>
      </c>
      <c r="O9" s="10">
        <f t="shared" si="3"/>
        <v>156.00000000000003</v>
      </c>
      <c r="P9" s="10">
        <f t="shared" si="3"/>
        <v>168.00000000000006</v>
      </c>
      <c r="Q9" s="10">
        <f t="shared" si="3"/>
        <v>180.00000000000006</v>
      </c>
      <c r="R9" s="10">
        <f t="shared" si="3"/>
        <v>192.00000000000006</v>
      </c>
    </row>
    <row r="10" spans="2:24">
      <c r="B10" s="2" t="s">
        <v>716</v>
      </c>
      <c r="C10" s="419">
        <f>$C$2*C9*$C$3</f>
        <v>0</v>
      </c>
      <c r="D10" s="419">
        <f t="shared" ref="D10:I10" si="4">$C$2*D9*$C$3</f>
        <v>0</v>
      </c>
      <c r="E10" s="419">
        <f t="shared" si="4"/>
        <v>0</v>
      </c>
      <c r="F10" s="419">
        <f t="shared" si="4"/>
        <v>0</v>
      </c>
      <c r="G10" s="419">
        <f t="shared" si="4"/>
        <v>0</v>
      </c>
      <c r="H10" s="419">
        <f t="shared" si="4"/>
        <v>0</v>
      </c>
      <c r="I10" s="419">
        <f t="shared" si="4"/>
        <v>0</v>
      </c>
      <c r="K10" s="2" t="s">
        <v>753</v>
      </c>
      <c r="L10" s="419">
        <f>$L$2*$L$3*L9</f>
        <v>0</v>
      </c>
      <c r="M10" s="419">
        <f t="shared" ref="M10:R10" si="5">$L$2*$L$3*M9</f>
        <v>0</v>
      </c>
      <c r="N10" s="419">
        <f t="shared" si="5"/>
        <v>0</v>
      </c>
      <c r="O10" s="419">
        <f t="shared" si="5"/>
        <v>0</v>
      </c>
      <c r="P10" s="419">
        <f t="shared" si="5"/>
        <v>0</v>
      </c>
      <c r="Q10" s="419">
        <f t="shared" si="5"/>
        <v>0</v>
      </c>
      <c r="R10" s="419">
        <f t="shared" si="5"/>
        <v>0</v>
      </c>
    </row>
    <row r="11" spans="2:24">
      <c r="B11" s="2" t="s">
        <v>760</v>
      </c>
      <c r="C11" s="444">
        <f>C10*40%</f>
        <v>0</v>
      </c>
      <c r="D11" s="444">
        <f t="shared" ref="D11:I11" si="6">D10*40%</f>
        <v>0</v>
      </c>
      <c r="E11" s="444">
        <f t="shared" si="6"/>
        <v>0</v>
      </c>
      <c r="F11" s="444">
        <f t="shared" si="6"/>
        <v>0</v>
      </c>
      <c r="G11" s="444">
        <f t="shared" si="6"/>
        <v>0</v>
      </c>
      <c r="H11" s="444">
        <f t="shared" si="6"/>
        <v>0</v>
      </c>
      <c r="I11" s="444">
        <f t="shared" si="6"/>
        <v>0</v>
      </c>
      <c r="K11" s="10" t="s">
        <v>744</v>
      </c>
      <c r="L11" s="309">
        <v>0.02</v>
      </c>
      <c r="M11" s="309">
        <f>L11</f>
        <v>0.02</v>
      </c>
      <c r="N11" s="309">
        <f t="shared" ref="N11:R11" si="7">M11</f>
        <v>0.02</v>
      </c>
      <c r="O11" s="309">
        <f t="shared" si="7"/>
        <v>0.02</v>
      </c>
      <c r="P11" s="309">
        <f t="shared" si="7"/>
        <v>0.02</v>
      </c>
      <c r="Q11" s="309">
        <f t="shared" si="7"/>
        <v>0.02</v>
      </c>
      <c r="R11" s="309">
        <f t="shared" si="7"/>
        <v>0.02</v>
      </c>
    </row>
    <row r="12" spans="2:24">
      <c r="B12" s="2" t="s">
        <v>448</v>
      </c>
      <c r="C12" s="419">
        <f>C10-C11</f>
        <v>0</v>
      </c>
      <c r="D12" s="419">
        <f t="shared" ref="D12:I12" si="8">D10-D11</f>
        <v>0</v>
      </c>
      <c r="E12" s="419">
        <f t="shared" si="8"/>
        <v>0</v>
      </c>
      <c r="F12" s="419">
        <f t="shared" si="8"/>
        <v>0</v>
      </c>
      <c r="G12" s="419">
        <f t="shared" si="8"/>
        <v>0</v>
      </c>
      <c r="H12" s="419">
        <f t="shared" si="8"/>
        <v>0</v>
      </c>
      <c r="I12" s="419">
        <f t="shared" si="8"/>
        <v>0</v>
      </c>
      <c r="K12" s="2" t="s">
        <v>754</v>
      </c>
      <c r="L12" s="419">
        <f t="shared" ref="L12:R12" si="9">L10-(L10*L11)</f>
        <v>0</v>
      </c>
      <c r="M12" s="419">
        <f t="shared" si="9"/>
        <v>0</v>
      </c>
      <c r="N12" s="419">
        <f t="shared" si="9"/>
        <v>0</v>
      </c>
      <c r="O12" s="419">
        <f t="shared" si="9"/>
        <v>0</v>
      </c>
      <c r="P12" s="419">
        <f t="shared" si="9"/>
        <v>0</v>
      </c>
      <c r="Q12" s="419">
        <f t="shared" si="9"/>
        <v>0</v>
      </c>
      <c r="R12" s="419">
        <f t="shared" si="9"/>
        <v>0</v>
      </c>
    </row>
    <row r="13" spans="2:24">
      <c r="B13" s="25" t="s">
        <v>167</v>
      </c>
      <c r="C13" s="420">
        <f>C$12*50%</f>
        <v>0</v>
      </c>
      <c r="D13" s="420">
        <f t="shared" ref="D13:I13" si="10">D$12*50%</f>
        <v>0</v>
      </c>
      <c r="E13" s="420">
        <f t="shared" si="10"/>
        <v>0</v>
      </c>
      <c r="F13" s="420">
        <f t="shared" si="10"/>
        <v>0</v>
      </c>
      <c r="G13" s="420">
        <f t="shared" si="10"/>
        <v>0</v>
      </c>
      <c r="H13" s="420">
        <f t="shared" si="10"/>
        <v>0</v>
      </c>
      <c r="I13" s="420">
        <f t="shared" si="10"/>
        <v>0</v>
      </c>
      <c r="K13" s="10" t="s">
        <v>745</v>
      </c>
      <c r="L13" s="26">
        <f>L$12*15%</f>
        <v>0</v>
      </c>
      <c r="M13" s="26">
        <f t="shared" ref="M13:R13" si="11">M$12*15%</f>
        <v>0</v>
      </c>
      <c r="N13" s="26">
        <f t="shared" si="11"/>
        <v>0</v>
      </c>
      <c r="O13" s="26">
        <f t="shared" si="11"/>
        <v>0</v>
      </c>
      <c r="P13" s="26">
        <f t="shared" si="11"/>
        <v>0</v>
      </c>
      <c r="Q13" s="26">
        <f t="shared" si="11"/>
        <v>0</v>
      </c>
      <c r="R13" s="26">
        <f t="shared" si="11"/>
        <v>0</v>
      </c>
    </row>
    <row r="14" spans="2:24">
      <c r="B14" s="25" t="s">
        <v>164</v>
      </c>
      <c r="C14" s="420">
        <f>C$12*30%</f>
        <v>0</v>
      </c>
      <c r="D14" s="420">
        <f t="shared" ref="D14:I14" si="12">D$12*30%</f>
        <v>0</v>
      </c>
      <c r="E14" s="420">
        <f t="shared" si="12"/>
        <v>0</v>
      </c>
      <c r="F14" s="420">
        <f t="shared" si="12"/>
        <v>0</v>
      </c>
      <c r="G14" s="420">
        <f t="shared" si="12"/>
        <v>0</v>
      </c>
      <c r="H14" s="420">
        <f t="shared" si="12"/>
        <v>0</v>
      </c>
      <c r="I14" s="420">
        <f t="shared" si="12"/>
        <v>0</v>
      </c>
      <c r="K14" s="10"/>
      <c r="L14" s="26"/>
      <c r="M14" s="26"/>
      <c r="N14" s="26"/>
      <c r="O14" s="26"/>
      <c r="P14" s="26"/>
      <c r="Q14" s="26"/>
      <c r="R14" s="26"/>
    </row>
    <row r="15" spans="2:24">
      <c r="B15" s="25" t="s">
        <v>163</v>
      </c>
      <c r="C15" s="420">
        <f>C$12*20%</f>
        <v>0</v>
      </c>
      <c r="D15" s="420">
        <f t="shared" ref="D15:I15" si="13">D$12*20%</f>
        <v>0</v>
      </c>
      <c r="E15" s="420">
        <f t="shared" si="13"/>
        <v>0</v>
      </c>
      <c r="F15" s="420">
        <f t="shared" si="13"/>
        <v>0</v>
      </c>
      <c r="G15" s="420">
        <f t="shared" si="13"/>
        <v>0</v>
      </c>
      <c r="H15" s="420">
        <f t="shared" si="13"/>
        <v>0</v>
      </c>
      <c r="I15" s="420">
        <f t="shared" si="13"/>
        <v>0</v>
      </c>
      <c r="K15" s="10" t="s">
        <v>746</v>
      </c>
      <c r="L15" s="26">
        <f>L$12*55%</f>
        <v>0</v>
      </c>
      <c r="M15" s="26">
        <f t="shared" ref="M15:R15" si="14">M$12*55%</f>
        <v>0</v>
      </c>
      <c r="N15" s="26">
        <f t="shared" si="14"/>
        <v>0</v>
      </c>
      <c r="O15" s="26">
        <f t="shared" si="14"/>
        <v>0</v>
      </c>
      <c r="P15" s="26">
        <f t="shared" si="14"/>
        <v>0</v>
      </c>
      <c r="Q15" s="26">
        <f t="shared" si="14"/>
        <v>0</v>
      </c>
      <c r="R15" s="26">
        <f t="shared" si="14"/>
        <v>0</v>
      </c>
    </row>
    <row r="16" spans="2:24">
      <c r="B16" s="2"/>
      <c r="C16" s="2"/>
      <c r="D16" s="2"/>
      <c r="E16" s="2"/>
      <c r="F16" s="2"/>
      <c r="G16" s="2"/>
      <c r="H16" s="2"/>
      <c r="I16" s="2"/>
      <c r="K16" s="10"/>
      <c r="L16" s="26"/>
      <c r="M16" s="26"/>
      <c r="N16" s="26"/>
      <c r="O16" s="26"/>
      <c r="P16" s="26"/>
      <c r="Q16" s="26"/>
      <c r="R16" s="26"/>
    </row>
    <row r="17" spans="2:18">
      <c r="B17" s="2" t="s">
        <v>717</v>
      </c>
      <c r="C17" s="395"/>
      <c r="D17" s="395"/>
      <c r="E17" s="395"/>
      <c r="F17" s="395"/>
      <c r="G17" s="395"/>
      <c r="H17" s="395"/>
      <c r="I17" s="395"/>
      <c r="K17" s="2" t="s">
        <v>751</v>
      </c>
      <c r="L17" s="26"/>
      <c r="M17" s="26"/>
      <c r="N17" s="26"/>
      <c r="O17" s="26"/>
      <c r="P17" s="26"/>
      <c r="Q17" s="26"/>
      <c r="R17" s="26"/>
    </row>
    <row r="18" spans="2:18">
      <c r="B18" s="24" t="str">
        <f>B13</f>
        <v>Soybean</v>
      </c>
      <c r="C18" s="401">
        <f t="shared" ref="C18:I20" si="15">C13*98%</f>
        <v>0</v>
      </c>
      <c r="D18" s="401">
        <f t="shared" si="15"/>
        <v>0</v>
      </c>
      <c r="E18" s="401">
        <f t="shared" si="15"/>
        <v>0</v>
      </c>
      <c r="F18" s="401">
        <f t="shared" si="15"/>
        <v>0</v>
      </c>
      <c r="G18" s="401">
        <f t="shared" si="15"/>
        <v>0</v>
      </c>
      <c r="H18" s="401">
        <f t="shared" si="15"/>
        <v>0</v>
      </c>
      <c r="I18" s="401">
        <f t="shared" si="15"/>
        <v>0</v>
      </c>
      <c r="K18" s="10" t="str">
        <f>K13</f>
        <v>Ground Nut Seed</v>
      </c>
      <c r="L18" s="26">
        <f t="shared" ref="L18:R18" si="16">(L13*30%)/25</f>
        <v>0</v>
      </c>
      <c r="M18" s="26">
        <f t="shared" si="16"/>
        <v>0</v>
      </c>
      <c r="N18" s="26">
        <f t="shared" si="16"/>
        <v>0</v>
      </c>
      <c r="O18" s="26">
        <f t="shared" si="16"/>
        <v>0</v>
      </c>
      <c r="P18" s="26">
        <f t="shared" si="16"/>
        <v>0</v>
      </c>
      <c r="Q18" s="26">
        <f t="shared" si="16"/>
        <v>0</v>
      </c>
      <c r="R18" s="26">
        <f t="shared" si="16"/>
        <v>0</v>
      </c>
    </row>
    <row r="19" spans="2:18">
      <c r="B19" s="24" t="str">
        <f>B14</f>
        <v>Red Gram</v>
      </c>
      <c r="C19" s="401">
        <f t="shared" si="15"/>
        <v>0</v>
      </c>
      <c r="D19" s="401">
        <f t="shared" si="15"/>
        <v>0</v>
      </c>
      <c r="E19" s="401">
        <f t="shared" si="15"/>
        <v>0</v>
      </c>
      <c r="F19" s="401">
        <f t="shared" si="15"/>
        <v>0</v>
      </c>
      <c r="G19" s="401">
        <f t="shared" si="15"/>
        <v>0</v>
      </c>
      <c r="H19" s="401">
        <f t="shared" si="15"/>
        <v>0</v>
      </c>
      <c r="I19" s="401">
        <f t="shared" si="15"/>
        <v>0</v>
      </c>
      <c r="K19" s="10"/>
      <c r="L19" s="26"/>
      <c r="M19" s="26"/>
      <c r="N19" s="26"/>
      <c r="O19" s="26"/>
      <c r="P19" s="26"/>
      <c r="Q19" s="26"/>
      <c r="R19" s="26"/>
    </row>
    <row r="20" spans="2:18">
      <c r="B20" s="24" t="str">
        <f>B15</f>
        <v>Bengal Gram</v>
      </c>
      <c r="C20" s="401">
        <f t="shared" si="15"/>
        <v>0</v>
      </c>
      <c r="D20" s="401">
        <f t="shared" si="15"/>
        <v>0</v>
      </c>
      <c r="E20" s="401">
        <f t="shared" si="15"/>
        <v>0</v>
      </c>
      <c r="F20" s="401">
        <f t="shared" si="15"/>
        <v>0</v>
      </c>
      <c r="G20" s="401">
        <f t="shared" si="15"/>
        <v>0</v>
      </c>
      <c r="H20" s="401">
        <f t="shared" si="15"/>
        <v>0</v>
      </c>
      <c r="I20" s="401">
        <f t="shared" si="15"/>
        <v>0</v>
      </c>
      <c r="K20" s="10" t="str">
        <f>K15</f>
        <v>Sunflower Seed</v>
      </c>
      <c r="L20" s="26">
        <f t="shared" ref="L20:R20" si="17">(L15*30%)/25</f>
        <v>0</v>
      </c>
      <c r="M20" s="26">
        <f t="shared" si="17"/>
        <v>0</v>
      </c>
      <c r="N20" s="26">
        <f t="shared" si="17"/>
        <v>0</v>
      </c>
      <c r="O20" s="26">
        <f t="shared" si="17"/>
        <v>0</v>
      </c>
      <c r="P20" s="26">
        <f t="shared" si="17"/>
        <v>0</v>
      </c>
      <c r="Q20" s="26">
        <f t="shared" si="17"/>
        <v>0</v>
      </c>
      <c r="R20" s="26">
        <f t="shared" si="17"/>
        <v>0</v>
      </c>
    </row>
    <row r="21" spans="2:18">
      <c r="K21" s="10"/>
      <c r="L21" s="26"/>
      <c r="M21" s="26"/>
      <c r="N21" s="26"/>
      <c r="O21" s="26"/>
      <c r="P21" s="26"/>
      <c r="Q21" s="26"/>
      <c r="R21" s="26"/>
    </row>
    <row r="22" spans="2:18">
      <c r="C22" s="22"/>
      <c r="D22" s="29"/>
      <c r="E22" s="29"/>
      <c r="K22" s="10" t="s">
        <v>752</v>
      </c>
      <c r="L22" s="26"/>
      <c r="M22" s="26"/>
      <c r="N22" s="26"/>
      <c r="O22" s="26"/>
      <c r="P22" s="26"/>
      <c r="Q22" s="26"/>
      <c r="R22" s="26"/>
    </row>
    <row r="23" spans="2:18">
      <c r="C23" s="22"/>
      <c r="D23" s="29"/>
      <c r="E23" s="29"/>
      <c r="K23" s="10" t="str">
        <f>K18</f>
        <v>Ground Nut Seed</v>
      </c>
      <c r="L23" s="26">
        <f t="shared" ref="L23:R23" si="18">(L13*70%)/50</f>
        <v>0</v>
      </c>
      <c r="M23" s="26">
        <f t="shared" si="18"/>
        <v>0</v>
      </c>
      <c r="N23" s="26">
        <f t="shared" si="18"/>
        <v>0</v>
      </c>
      <c r="O23" s="26">
        <f t="shared" si="18"/>
        <v>0</v>
      </c>
      <c r="P23" s="26">
        <f t="shared" si="18"/>
        <v>0</v>
      </c>
      <c r="Q23" s="26">
        <f t="shared" si="18"/>
        <v>0</v>
      </c>
      <c r="R23" s="26">
        <f t="shared" si="18"/>
        <v>0</v>
      </c>
    </row>
    <row r="24" spans="2:18">
      <c r="C24" s="22"/>
      <c r="D24" s="29"/>
      <c r="E24" s="29"/>
      <c r="K24" s="10" t="str">
        <f>K20</f>
        <v>Sunflower Seed</v>
      </c>
      <c r="L24" s="26">
        <f t="shared" ref="L24:R24" si="19">(L15*70%)/50</f>
        <v>0</v>
      </c>
      <c r="M24" s="26">
        <f t="shared" si="19"/>
        <v>0</v>
      </c>
      <c r="N24" s="26">
        <f t="shared" si="19"/>
        <v>0</v>
      </c>
      <c r="O24" s="26">
        <f t="shared" si="19"/>
        <v>0</v>
      </c>
      <c r="P24" s="26">
        <f t="shared" si="19"/>
        <v>0</v>
      </c>
      <c r="Q24" s="26">
        <f t="shared" si="19"/>
        <v>0</v>
      </c>
      <c r="R24" s="26">
        <f t="shared" si="19"/>
        <v>0</v>
      </c>
    </row>
    <row r="25" spans="2:18">
      <c r="C25" s="22"/>
      <c r="D25" s="29"/>
      <c r="E25" s="29"/>
      <c r="K25" s="10" t="e">
        <f>#REF!</f>
        <v>#REF!</v>
      </c>
      <c r="L25" s="26" t="e">
        <f>(#REF!*70%)/50</f>
        <v>#REF!</v>
      </c>
      <c r="M25" s="26" t="e">
        <f>(#REF!*70%)/50</f>
        <v>#REF!</v>
      </c>
      <c r="N25" s="26" t="e">
        <f>(#REF!*70%)/50</f>
        <v>#REF!</v>
      </c>
      <c r="O25" s="26" t="e">
        <f>(#REF!*70%)/50</f>
        <v>#REF!</v>
      </c>
      <c r="P25" s="26" t="e">
        <f>(#REF!*70%)/50</f>
        <v>#REF!</v>
      </c>
      <c r="Q25" s="26" t="e">
        <f>(#REF!*70%)/50</f>
        <v>#REF!</v>
      </c>
      <c r="R25" s="26" t="e">
        <f>(#REF!*70%)/50</f>
        <v>#REF!</v>
      </c>
    </row>
    <row r="26" spans="2:18">
      <c r="K26">
        <f t="shared" ref="K26" si="20">K21</f>
        <v>0</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4AF28-52E4-4627-8686-51C817A044D2}">
  <dimension ref="H6:L8"/>
  <sheetViews>
    <sheetView workbookViewId="0">
      <selection activeCell="B11" sqref="B11"/>
    </sheetView>
  </sheetViews>
  <sheetFormatPr defaultRowHeight="14.5"/>
  <cols>
    <col min="9" max="9" width="10.26953125" bestFit="1" customWidth="1"/>
    <col min="10" max="10" width="10.6328125" bestFit="1" customWidth="1"/>
    <col min="12" max="12" width="10.90625" bestFit="1" customWidth="1"/>
  </cols>
  <sheetData>
    <row r="6" spans="8:12">
      <c r="H6" t="s">
        <v>737</v>
      </c>
      <c r="I6" t="s">
        <v>738</v>
      </c>
      <c r="J6" t="s">
        <v>739</v>
      </c>
      <c r="K6" t="s">
        <v>1</v>
      </c>
      <c r="L6" t="s">
        <v>348</v>
      </c>
    </row>
    <row r="7" spans="8:12">
      <c r="H7" t="s">
        <v>388</v>
      </c>
      <c r="I7">
        <v>500</v>
      </c>
      <c r="J7">
        <f>5</f>
        <v>5</v>
      </c>
      <c r="K7">
        <f>I7*J7</f>
        <v>2500</v>
      </c>
      <c r="L7">
        <v>30000</v>
      </c>
    </row>
    <row r="8" spans="8:12">
      <c r="H8" t="s">
        <v>390</v>
      </c>
      <c r="I8">
        <v>1500</v>
      </c>
      <c r="J8" t="s">
        <v>740</v>
      </c>
      <c r="K8" t="e">
        <f t="shared" ref="K8" si="0">I8*J8</f>
        <v>#VALUE!</v>
      </c>
      <c r="L8">
        <v>50000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CC994-5052-4F40-A9C2-9C0FF5CD36F8}">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48"/>
  <sheetViews>
    <sheetView view="pageBreakPreview" topLeftCell="A139" zoomScaleSheetLayoutView="100" workbookViewId="0">
      <selection activeCell="H139" sqref="H139"/>
    </sheetView>
  </sheetViews>
  <sheetFormatPr defaultRowHeight="14.5"/>
  <cols>
    <col min="2" max="2" width="7.54296875" bestFit="1" customWidth="1"/>
    <col min="3" max="3" width="41.54296875" customWidth="1"/>
    <col min="4" max="4" width="9.7265625" customWidth="1"/>
    <col min="5" max="5" width="17" customWidth="1"/>
    <col min="6" max="6" width="14" bestFit="1" customWidth="1"/>
    <col min="7" max="7" width="12" bestFit="1" customWidth="1"/>
    <col min="8" max="8" width="11.54296875" hidden="1" customWidth="1"/>
    <col min="9" max="9" width="11.453125" bestFit="1" customWidth="1"/>
    <col min="10" max="10" width="10.453125" bestFit="1" customWidth="1"/>
  </cols>
  <sheetData>
    <row r="2" spans="1:10" ht="17.5">
      <c r="A2">
        <v>2.1</v>
      </c>
      <c r="B2" s="473" t="s">
        <v>155</v>
      </c>
      <c r="C2" s="473"/>
      <c r="D2" s="473"/>
      <c r="E2" s="473"/>
      <c r="F2" s="473"/>
      <c r="G2" s="473"/>
    </row>
    <row r="4" spans="1:10" ht="28">
      <c r="B4" s="209" t="s">
        <v>146</v>
      </c>
      <c r="C4" s="209" t="s">
        <v>128</v>
      </c>
      <c r="D4" s="209" t="s">
        <v>133</v>
      </c>
      <c r="E4" s="209" t="s">
        <v>147</v>
      </c>
      <c r="F4" s="209" t="s">
        <v>148</v>
      </c>
      <c r="G4" s="209" t="s">
        <v>158</v>
      </c>
    </row>
    <row r="5" spans="1:10">
      <c r="B5" s="404">
        <v>1</v>
      </c>
      <c r="C5" s="404" t="s">
        <v>149</v>
      </c>
      <c r="D5" s="404" t="s">
        <v>150</v>
      </c>
      <c r="E5" s="405"/>
      <c r="F5" s="406"/>
      <c r="G5" s="407" t="s">
        <v>742</v>
      </c>
    </row>
    <row r="6" spans="1:10">
      <c r="B6" s="404">
        <v>2</v>
      </c>
      <c r="C6" s="404" t="s">
        <v>787</v>
      </c>
      <c r="D6" s="370" t="s">
        <v>765</v>
      </c>
      <c r="E6" s="408">
        <f>60.425*18.29</f>
        <v>1105.1732499999998</v>
      </c>
      <c r="F6" s="441">
        <f>G6/E6</f>
        <v>19245.851272639837</v>
      </c>
      <c r="G6" s="442">
        <v>21270000</v>
      </c>
      <c r="H6" s="66"/>
      <c r="J6" s="66"/>
    </row>
    <row r="7" spans="1:10" ht="28">
      <c r="B7" s="404">
        <v>4</v>
      </c>
      <c r="C7" s="404" t="s">
        <v>788</v>
      </c>
      <c r="D7" s="370" t="s">
        <v>765</v>
      </c>
      <c r="E7" s="408">
        <f>10.85*18.29</f>
        <v>198.44649999999999</v>
      </c>
      <c r="F7" s="409">
        <f>G7/E7</f>
        <v>24240.422481626032</v>
      </c>
      <c r="G7" s="442">
        <v>4810427</v>
      </c>
      <c r="I7" s="66" t="e">
        <f>#REF!/2</f>
        <v>#REF!</v>
      </c>
    </row>
    <row r="8" spans="1:10">
      <c r="B8" s="404"/>
      <c r="C8" s="404"/>
      <c r="D8" s="370"/>
      <c r="E8" s="408"/>
      <c r="F8" s="409"/>
      <c r="G8" s="410">
        <f t="shared" ref="G8:G9" si="0">E8*F8</f>
        <v>0</v>
      </c>
    </row>
    <row r="9" spans="1:10">
      <c r="B9" s="404"/>
      <c r="C9" s="404"/>
      <c r="D9" s="370"/>
      <c r="E9" s="408"/>
      <c r="F9" s="409"/>
      <c r="G9" s="410">
        <f t="shared" si="0"/>
        <v>0</v>
      </c>
    </row>
    <row r="10" spans="1:10">
      <c r="B10" s="476" t="s">
        <v>1</v>
      </c>
      <c r="C10" s="476"/>
      <c r="D10" s="476"/>
      <c r="E10" s="476"/>
      <c r="F10" s="476"/>
      <c r="G10" s="223">
        <f>SUM(G6:G9)</f>
        <v>26080427</v>
      </c>
    </row>
    <row r="13" spans="1:10">
      <c r="B13" s="472" t="s">
        <v>402</v>
      </c>
      <c r="C13" s="472"/>
      <c r="D13" s="472"/>
      <c r="E13" s="472"/>
      <c r="F13" s="472"/>
      <c r="G13" s="472"/>
    </row>
    <row r="15" spans="1:10" ht="17.5">
      <c r="A15">
        <v>2.2000000000000002</v>
      </c>
      <c r="B15" s="473" t="s">
        <v>156</v>
      </c>
      <c r="C15" s="473"/>
      <c r="D15" s="473"/>
      <c r="E15" s="473"/>
      <c r="F15" s="473"/>
      <c r="G15" s="473"/>
      <c r="H15" s="473"/>
    </row>
    <row r="16" spans="1:10">
      <c r="B16" s="19"/>
    </row>
    <row r="17" spans="2:8" ht="28">
      <c r="B17" s="402" t="s">
        <v>146</v>
      </c>
      <c r="C17" s="402" t="s">
        <v>151</v>
      </c>
      <c r="D17" s="402" t="s">
        <v>161</v>
      </c>
      <c r="E17" s="402" t="s">
        <v>152</v>
      </c>
      <c r="F17" s="402" t="s">
        <v>153</v>
      </c>
      <c r="G17" s="402" t="s">
        <v>158</v>
      </c>
      <c r="H17" s="307" t="s">
        <v>154</v>
      </c>
    </row>
    <row r="18" spans="2:8">
      <c r="B18" s="411"/>
      <c r="C18" s="95"/>
      <c r="D18" s="95"/>
      <c r="E18" s="95"/>
      <c r="F18" s="95"/>
      <c r="G18" s="412"/>
      <c r="H18" s="224"/>
    </row>
    <row r="19" spans="2:8">
      <c r="B19" s="413" t="s">
        <v>173</v>
      </c>
      <c r="C19" s="216" t="s">
        <v>358</v>
      </c>
      <c r="D19" s="216"/>
      <c r="E19" s="413"/>
      <c r="F19" s="219"/>
      <c r="G19" s="412"/>
      <c r="H19" s="227"/>
    </row>
    <row r="20" spans="2:8">
      <c r="B20" s="413"/>
      <c r="C20" s="216"/>
      <c r="D20" s="216"/>
      <c r="E20" s="413"/>
      <c r="F20" s="219"/>
      <c r="G20" s="412"/>
      <c r="H20" s="227"/>
    </row>
    <row r="21" spans="2:8">
      <c r="B21" s="413"/>
      <c r="C21" s="216"/>
      <c r="D21" s="216"/>
      <c r="E21" s="413"/>
      <c r="F21" s="219"/>
      <c r="G21" s="412"/>
      <c r="H21" s="227"/>
    </row>
    <row r="22" spans="2:8">
      <c r="B22" s="413"/>
      <c r="C22" s="216"/>
      <c r="D22" s="216"/>
      <c r="E22" s="413"/>
      <c r="F22" s="219"/>
      <c r="G22" s="412"/>
      <c r="H22" s="227"/>
    </row>
    <row r="23" spans="2:8">
      <c r="B23" s="413"/>
      <c r="C23" s="216"/>
      <c r="D23" s="216"/>
      <c r="E23" s="413"/>
      <c r="F23" s="219"/>
      <c r="G23" s="412"/>
      <c r="H23" s="227"/>
    </row>
    <row r="24" spans="2:8">
      <c r="B24" s="413"/>
      <c r="C24" s="216"/>
      <c r="D24" s="216"/>
      <c r="E24" s="413"/>
      <c r="F24" s="219"/>
      <c r="G24" s="412"/>
      <c r="H24" s="227"/>
    </row>
    <row r="25" spans="2:8">
      <c r="B25" s="413"/>
      <c r="C25" s="216"/>
      <c r="D25" s="216"/>
      <c r="E25" s="413"/>
      <c r="F25" s="219"/>
      <c r="G25" s="412"/>
      <c r="H25" s="227"/>
    </row>
    <row r="26" spans="2:8">
      <c r="B26" s="413"/>
      <c r="C26" s="216"/>
      <c r="D26" s="216"/>
      <c r="E26" s="413"/>
      <c r="F26" s="219"/>
      <c r="G26" s="412"/>
      <c r="H26" s="227"/>
    </row>
    <row r="27" spans="2:8">
      <c r="B27" s="413"/>
      <c r="C27" s="216"/>
      <c r="D27" s="413"/>
      <c r="E27" s="413"/>
      <c r="F27" s="219"/>
      <c r="G27" s="412"/>
      <c r="H27" s="227"/>
    </row>
    <row r="28" spans="2:8">
      <c r="B28" s="413"/>
      <c r="C28" s="216"/>
      <c r="D28" s="413"/>
      <c r="E28" s="413"/>
      <c r="F28" s="219"/>
      <c r="G28" s="412"/>
      <c r="H28" s="227"/>
    </row>
    <row r="29" spans="2:8">
      <c r="B29" s="413"/>
      <c r="C29" s="216"/>
      <c r="D29" s="413"/>
      <c r="E29" s="413"/>
      <c r="F29" s="219"/>
      <c r="G29" s="412"/>
      <c r="H29" s="227"/>
    </row>
    <row r="30" spans="2:8">
      <c r="B30" s="413"/>
      <c r="C30" s="216"/>
      <c r="D30" s="413"/>
      <c r="E30" s="413"/>
      <c r="F30" s="219"/>
      <c r="G30" s="412"/>
      <c r="H30" s="227"/>
    </row>
    <row r="31" spans="2:8">
      <c r="B31" s="413"/>
      <c r="C31" s="216"/>
      <c r="D31" s="413"/>
      <c r="E31" s="413"/>
      <c r="F31" s="219"/>
      <c r="G31" s="412"/>
      <c r="H31" s="227"/>
    </row>
    <row r="32" spans="2:8">
      <c r="B32" s="413"/>
      <c r="C32" s="216"/>
      <c r="D32" s="413"/>
      <c r="E32" s="413"/>
      <c r="F32" s="219"/>
      <c r="G32" s="412"/>
      <c r="H32" s="227"/>
    </row>
    <row r="33" spans="2:8">
      <c r="B33" s="413"/>
      <c r="C33" s="216"/>
      <c r="D33" s="413"/>
      <c r="E33" s="413"/>
      <c r="F33" s="219"/>
      <c r="G33" s="412"/>
      <c r="H33" s="227"/>
    </row>
    <row r="34" spans="2:8">
      <c r="B34" s="478" t="s">
        <v>171</v>
      </c>
      <c r="C34" s="478"/>
      <c r="D34" s="413"/>
      <c r="E34" s="413"/>
      <c r="F34" s="222"/>
      <c r="G34" s="412">
        <f>SUM(G19:G33)</f>
        <v>0</v>
      </c>
      <c r="H34" s="225">
        <f>SUM(H19:H30)</f>
        <v>0</v>
      </c>
    </row>
    <row r="35" spans="2:8">
      <c r="B35" s="413" t="s">
        <v>174</v>
      </c>
      <c r="C35" s="216"/>
      <c r="D35" s="411"/>
      <c r="E35" s="411"/>
      <c r="F35" s="412"/>
      <c r="G35" s="412"/>
      <c r="H35" s="224"/>
    </row>
    <row r="36" spans="2:8">
      <c r="B36" s="413" t="s">
        <v>173</v>
      </c>
      <c r="C36" s="414" t="s">
        <v>359</v>
      </c>
      <c r="D36" s="218"/>
      <c r="E36" s="411"/>
      <c r="F36" s="412"/>
      <c r="G36" s="412"/>
      <c r="H36" s="224"/>
    </row>
    <row r="37" spans="2:8">
      <c r="B37" s="413">
        <v>1</v>
      </c>
      <c r="C37" t="s">
        <v>770</v>
      </c>
      <c r="D37" s="411" t="s">
        <v>777</v>
      </c>
      <c r="E37" s="411">
        <v>3</v>
      </c>
      <c r="F37" s="412">
        <v>100000</v>
      </c>
      <c r="G37" s="412">
        <f t="shared" ref="G37:G43" si="1">E37*F37</f>
        <v>300000</v>
      </c>
      <c r="H37" s="224">
        <v>3</v>
      </c>
    </row>
    <row r="38" spans="2:8">
      <c r="B38" s="411"/>
      <c r="C38" t="s">
        <v>771</v>
      </c>
      <c r="D38" s="411"/>
      <c r="E38" s="411">
        <v>1</v>
      </c>
      <c r="F38" s="412">
        <v>325000</v>
      </c>
      <c r="G38" s="412">
        <f t="shared" si="1"/>
        <v>325000</v>
      </c>
      <c r="H38" s="224">
        <v>4.5</v>
      </c>
    </row>
    <row r="39" spans="2:8">
      <c r="B39" s="411"/>
      <c r="C39" t="s">
        <v>772</v>
      </c>
      <c r="D39" s="411"/>
      <c r="E39" s="411">
        <v>1</v>
      </c>
      <c r="F39" s="412">
        <v>325000</v>
      </c>
      <c r="G39" s="412">
        <f t="shared" si="1"/>
        <v>325000</v>
      </c>
      <c r="H39" s="224">
        <v>9.5</v>
      </c>
    </row>
    <row r="40" spans="2:8">
      <c r="B40" s="411"/>
      <c r="C40" t="s">
        <v>773</v>
      </c>
      <c r="D40" s="411"/>
      <c r="E40" s="411">
        <v>1</v>
      </c>
      <c r="F40" s="412">
        <v>365000</v>
      </c>
      <c r="G40" s="412">
        <f t="shared" si="1"/>
        <v>365000</v>
      </c>
      <c r="H40" s="224">
        <v>1</v>
      </c>
    </row>
    <row r="41" spans="2:8">
      <c r="B41" s="411"/>
      <c r="C41" t="s">
        <v>774</v>
      </c>
      <c r="D41" s="411"/>
      <c r="E41" s="411">
        <v>1</v>
      </c>
      <c r="F41" s="412">
        <v>85000</v>
      </c>
      <c r="G41" s="412">
        <f t="shared" si="1"/>
        <v>85000</v>
      </c>
      <c r="H41" s="224"/>
    </row>
    <row r="42" spans="2:8">
      <c r="B42" s="411"/>
      <c r="C42" t="s">
        <v>775</v>
      </c>
      <c r="D42" s="411"/>
      <c r="E42" s="411">
        <v>5</v>
      </c>
      <c r="F42" s="412">
        <v>24000</v>
      </c>
      <c r="G42" s="412">
        <f t="shared" si="1"/>
        <v>120000</v>
      </c>
      <c r="H42" s="224"/>
    </row>
    <row r="43" spans="2:8">
      <c r="B43" s="411"/>
      <c r="C43" t="s">
        <v>776</v>
      </c>
      <c r="D43" s="411"/>
      <c r="E43" s="411">
        <v>2</v>
      </c>
      <c r="F43" s="412">
        <v>45000</v>
      </c>
      <c r="G43" s="412">
        <f t="shared" si="1"/>
        <v>90000</v>
      </c>
      <c r="H43" s="224"/>
    </row>
    <row r="44" spans="2:8">
      <c r="B44" s="411"/>
      <c r="C44" t="s">
        <v>778</v>
      </c>
      <c r="D44" s="411"/>
      <c r="E44" s="411"/>
      <c r="F44" s="412"/>
      <c r="G44" s="412">
        <v>90000</v>
      </c>
      <c r="H44" s="224"/>
    </row>
    <row r="45" spans="2:8">
      <c r="B45" s="411"/>
      <c r="C45" t="s">
        <v>779</v>
      </c>
      <c r="D45" s="411"/>
      <c r="E45" s="411"/>
      <c r="F45" s="412"/>
      <c r="G45" s="412">
        <v>200000</v>
      </c>
      <c r="H45" s="224"/>
    </row>
    <row r="46" spans="2:8">
      <c r="B46" s="411"/>
      <c r="C46" s="281" t="s">
        <v>780</v>
      </c>
      <c r="D46" s="411"/>
      <c r="E46" s="411"/>
      <c r="F46" s="412"/>
      <c r="G46" s="412">
        <f>SUM(G37:G45)*18%</f>
        <v>342000</v>
      </c>
      <c r="H46" s="224"/>
    </row>
    <row r="47" spans="2:8">
      <c r="B47" s="479" t="s">
        <v>171</v>
      </c>
      <c r="C47" s="479"/>
      <c r="D47" s="413"/>
      <c r="E47" s="413"/>
      <c r="F47" s="222"/>
      <c r="G47" s="222">
        <f>SUM(G37:G46)</f>
        <v>2242000</v>
      </c>
      <c r="H47" s="222">
        <f>SUM(H37:H46)</f>
        <v>18</v>
      </c>
    </row>
    <row r="48" spans="2:8">
      <c r="B48" s="411"/>
      <c r="C48" s="218" t="s">
        <v>781</v>
      </c>
      <c r="D48" s="218"/>
      <c r="E48" s="411"/>
      <c r="F48" s="412"/>
      <c r="G48" s="412"/>
      <c r="H48" s="224"/>
    </row>
    <row r="49" spans="1:11">
      <c r="B49" s="411"/>
      <c r="C49" t="s">
        <v>782</v>
      </c>
      <c r="D49" s="218"/>
      <c r="E49" s="411">
        <v>1</v>
      </c>
      <c r="F49" s="412">
        <v>603000</v>
      </c>
      <c r="G49" s="412">
        <f>F49</f>
        <v>603000</v>
      </c>
      <c r="H49" s="224"/>
    </row>
    <row r="50" spans="1:11">
      <c r="B50" s="411"/>
      <c r="C50" s="218" t="s">
        <v>783</v>
      </c>
      <c r="D50" s="218"/>
      <c r="E50" s="411"/>
      <c r="F50" s="412"/>
      <c r="G50" s="412">
        <f>G49*12%</f>
        <v>72360</v>
      </c>
      <c r="H50" s="224"/>
    </row>
    <row r="51" spans="1:11">
      <c r="B51" s="411"/>
      <c r="C51" s="218" t="s">
        <v>779</v>
      </c>
      <c r="D51" s="218"/>
      <c r="E51" s="411"/>
      <c r="F51" s="412"/>
      <c r="G51" s="412">
        <v>15000</v>
      </c>
      <c r="H51" s="224"/>
    </row>
    <row r="52" spans="1:11">
      <c r="B52" s="479" t="s">
        <v>171</v>
      </c>
      <c r="C52" s="479"/>
      <c r="D52" s="218"/>
      <c r="E52" s="411"/>
      <c r="F52" s="412"/>
      <c r="G52" s="222">
        <f>SUM(G49:G51)</f>
        <v>690360</v>
      </c>
      <c r="H52" s="224"/>
    </row>
    <row r="53" spans="1:11">
      <c r="B53" s="411"/>
      <c r="C53" s="218" t="s">
        <v>784</v>
      </c>
      <c r="D53" s="218"/>
      <c r="E53" s="411"/>
      <c r="F53" s="412"/>
      <c r="G53" s="412"/>
      <c r="H53" s="224"/>
    </row>
    <row r="54" spans="1:11">
      <c r="B54" s="411"/>
      <c r="C54" s="218" t="s">
        <v>785</v>
      </c>
      <c r="D54" s="218" t="s">
        <v>786</v>
      </c>
      <c r="E54" s="411">
        <v>1</v>
      </c>
      <c r="F54" s="412">
        <v>600000</v>
      </c>
      <c r="G54" s="412">
        <f>F54</f>
        <v>600000</v>
      </c>
      <c r="H54" s="224"/>
    </row>
    <row r="55" spans="1:11">
      <c r="B55" s="411"/>
      <c r="C55" s="218" t="s">
        <v>780</v>
      </c>
      <c r="D55" s="218"/>
      <c r="E55" s="411"/>
      <c r="F55" s="412"/>
      <c r="G55" s="412">
        <f>G54*18%</f>
        <v>108000</v>
      </c>
      <c r="H55" s="224"/>
    </row>
    <row r="56" spans="1:11">
      <c r="B56" s="479" t="s">
        <v>171</v>
      </c>
      <c r="C56" s="479"/>
      <c r="D56" s="218"/>
      <c r="E56" s="411"/>
      <c r="F56" s="412"/>
      <c r="G56" s="412">
        <f>SUM(G54:G55)</f>
        <v>708000</v>
      </c>
      <c r="H56" s="224"/>
    </row>
    <row r="57" spans="1:11">
      <c r="B57" s="411"/>
      <c r="C57" s="218"/>
      <c r="D57" s="218"/>
      <c r="E57" s="411"/>
      <c r="F57" s="412"/>
      <c r="G57" s="412"/>
      <c r="H57" s="224"/>
    </row>
    <row r="58" spans="1:11">
      <c r="B58" s="477" t="s">
        <v>1</v>
      </c>
      <c r="C58" s="477"/>
      <c r="D58" s="477"/>
      <c r="E58" s="477"/>
      <c r="F58" s="477"/>
      <c r="G58" s="222">
        <f>G56+G52+G47</f>
        <v>3640360</v>
      </c>
      <c r="H58" s="222">
        <f>H47</f>
        <v>18</v>
      </c>
    </row>
    <row r="59" spans="1:11">
      <c r="B59" s="19"/>
      <c r="G59" s="18"/>
      <c r="I59" s="22"/>
    </row>
    <row r="60" spans="1:11">
      <c r="B60" s="472" t="s">
        <v>403</v>
      </c>
      <c r="C60" s="472"/>
      <c r="D60" s="472"/>
      <c r="E60" s="472"/>
      <c r="F60" s="472"/>
      <c r="G60" s="472"/>
      <c r="H60" s="472"/>
    </row>
    <row r="61" spans="1:11">
      <c r="B61" s="19"/>
      <c r="G61" s="18"/>
      <c r="I61" s="19"/>
      <c r="J61" s="19"/>
      <c r="K61" s="20"/>
    </row>
    <row r="64" spans="1:11" ht="17.5">
      <c r="A64">
        <v>2.2999999999999998</v>
      </c>
      <c r="B64" s="473" t="s">
        <v>370</v>
      </c>
      <c r="C64" s="473"/>
      <c r="D64" s="473"/>
      <c r="E64" s="473"/>
      <c r="F64" s="473"/>
    </row>
    <row r="66" spans="1:7" ht="29">
      <c r="B66" s="23" t="s">
        <v>146</v>
      </c>
      <c r="C66" s="57" t="s">
        <v>128</v>
      </c>
      <c r="D66" s="57" t="s">
        <v>152</v>
      </c>
      <c r="E66" s="57" t="s">
        <v>153</v>
      </c>
      <c r="F66" s="57" t="s">
        <v>158</v>
      </c>
    </row>
    <row r="67" spans="1:7">
      <c r="B67" s="231">
        <v>1</v>
      </c>
      <c r="C67" s="251"/>
      <c r="D67" s="231"/>
      <c r="E67" s="232"/>
      <c r="F67" s="233"/>
    </row>
    <row r="68" spans="1:7">
      <c r="B68" s="231">
        <v>2</v>
      </c>
      <c r="C68" s="251"/>
      <c r="D68" s="231"/>
      <c r="E68" s="232"/>
      <c r="F68" s="233"/>
    </row>
    <row r="69" spans="1:7">
      <c r="B69" s="231">
        <v>3</v>
      </c>
      <c r="C69" s="251"/>
      <c r="D69" s="231"/>
      <c r="E69" s="232"/>
      <c r="F69" s="233"/>
    </row>
    <row r="70" spans="1:7">
      <c r="B70" s="231">
        <v>4</v>
      </c>
      <c r="C70" s="251"/>
      <c r="D70" s="231"/>
      <c r="E70" s="232"/>
      <c r="F70" s="233"/>
    </row>
    <row r="71" spans="1:7">
      <c r="B71" s="231">
        <v>5</v>
      </c>
      <c r="C71" s="251"/>
      <c r="D71" s="231"/>
      <c r="E71" s="232"/>
      <c r="F71" s="233"/>
    </row>
    <row r="72" spans="1:7">
      <c r="B72" s="231">
        <v>6</v>
      </c>
      <c r="C72" s="251"/>
      <c r="D72" s="231"/>
      <c r="E72" s="232"/>
      <c r="F72" s="233"/>
    </row>
    <row r="73" spans="1:7">
      <c r="B73" s="486" t="s">
        <v>1</v>
      </c>
      <c r="C73" s="486"/>
      <c r="D73" s="486"/>
      <c r="E73" s="486"/>
      <c r="F73" s="21">
        <f>SUM(F67:F72)</f>
        <v>0</v>
      </c>
    </row>
    <row r="75" spans="1:7">
      <c r="A75" s="472" t="s">
        <v>404</v>
      </c>
      <c r="B75" s="472"/>
      <c r="C75" s="472"/>
      <c r="D75" s="472"/>
      <c r="E75" s="472"/>
      <c r="F75" s="472"/>
      <c r="G75" s="472"/>
    </row>
    <row r="78" spans="1:7" ht="17.5">
      <c r="A78">
        <v>2.4</v>
      </c>
      <c r="B78" s="473" t="s">
        <v>369</v>
      </c>
      <c r="C78" s="473"/>
      <c r="D78" s="473"/>
      <c r="E78" s="473"/>
      <c r="F78" s="473"/>
    </row>
    <row r="80" spans="1:7" ht="29">
      <c r="B80" s="23" t="s">
        <v>146</v>
      </c>
      <c r="C80" s="61" t="s">
        <v>128</v>
      </c>
      <c r="D80" s="61" t="s">
        <v>152</v>
      </c>
      <c r="E80" s="61" t="s">
        <v>153</v>
      </c>
      <c r="F80" s="61" t="s">
        <v>158</v>
      </c>
    </row>
    <row r="81" spans="2:6">
      <c r="B81" s="231">
        <v>1</v>
      </c>
      <c r="C81" s="251"/>
      <c r="D81" s="231"/>
      <c r="E81" s="232"/>
      <c r="F81" s="233"/>
    </row>
    <row r="82" spans="2:6">
      <c r="B82" s="231">
        <v>2</v>
      </c>
      <c r="C82" s="251"/>
      <c r="D82" s="231"/>
      <c r="E82" s="232"/>
      <c r="F82" s="233"/>
    </row>
    <row r="83" spans="2:6">
      <c r="B83" s="231">
        <v>3</v>
      </c>
      <c r="C83" s="251"/>
      <c r="D83" s="231"/>
      <c r="E83" s="232"/>
      <c r="F83" s="233"/>
    </row>
    <row r="84" spans="2:6">
      <c r="B84" s="231">
        <v>4</v>
      </c>
      <c r="C84" s="251"/>
      <c r="D84" s="231"/>
      <c r="E84" s="232"/>
      <c r="F84" s="233"/>
    </row>
    <row r="85" spans="2:6">
      <c r="B85" s="231">
        <v>5</v>
      </c>
      <c r="C85" s="251"/>
      <c r="D85" s="231"/>
      <c r="E85" s="232"/>
      <c r="F85" s="233"/>
    </row>
    <row r="86" spans="2:6">
      <c r="B86" s="231">
        <v>6</v>
      </c>
      <c r="C86" s="251"/>
      <c r="D86" s="231"/>
      <c r="E86" s="232"/>
      <c r="F86" s="233"/>
    </row>
    <row r="87" spans="2:6">
      <c r="B87" s="231">
        <v>7</v>
      </c>
      <c r="C87" s="251"/>
      <c r="D87" s="231"/>
      <c r="E87" s="232"/>
      <c r="F87" s="233"/>
    </row>
    <row r="88" spans="2:6">
      <c r="B88" s="231">
        <v>8</v>
      </c>
      <c r="C88" s="251"/>
      <c r="D88" s="231"/>
      <c r="E88" s="232"/>
      <c r="F88" s="233"/>
    </row>
    <row r="89" spans="2:6">
      <c r="B89" s="231">
        <v>9</v>
      </c>
      <c r="C89" s="251"/>
      <c r="D89" s="231"/>
      <c r="E89" s="232"/>
      <c r="F89" s="233"/>
    </row>
    <row r="90" spans="2:6">
      <c r="B90" s="231">
        <v>10</v>
      </c>
      <c r="C90" s="251"/>
      <c r="D90" s="231"/>
      <c r="E90" s="232"/>
      <c r="F90" s="233"/>
    </row>
    <row r="91" spans="2:6">
      <c r="B91" s="231">
        <v>11</v>
      </c>
      <c r="C91" s="251"/>
      <c r="D91" s="231"/>
      <c r="E91" s="232"/>
      <c r="F91" s="233"/>
    </row>
    <row r="92" spans="2:6">
      <c r="B92" s="231">
        <v>12</v>
      </c>
      <c r="C92" s="251"/>
      <c r="D92" s="231"/>
      <c r="E92" s="232"/>
      <c r="F92" s="233"/>
    </row>
    <row r="93" spans="2:6">
      <c r="B93" s="231">
        <v>13</v>
      </c>
      <c r="C93" s="251"/>
      <c r="D93" s="231"/>
      <c r="E93" s="232"/>
      <c r="F93" s="233"/>
    </row>
    <row r="94" spans="2:6">
      <c r="B94" s="231">
        <v>14</v>
      </c>
      <c r="C94" s="251"/>
      <c r="D94" s="231"/>
      <c r="E94" s="232"/>
      <c r="F94" s="233"/>
    </row>
    <row r="95" spans="2:6">
      <c r="B95" s="231">
        <v>15</v>
      </c>
      <c r="C95" s="251"/>
      <c r="D95" s="231"/>
      <c r="E95" s="232"/>
      <c r="F95" s="233"/>
    </row>
    <row r="96" spans="2:6">
      <c r="B96" s="231">
        <v>16</v>
      </c>
      <c r="C96" s="251"/>
      <c r="D96" s="231"/>
      <c r="E96" s="232"/>
      <c r="F96" s="233"/>
    </row>
    <row r="97" spans="1:7">
      <c r="B97" s="231">
        <v>17</v>
      </c>
      <c r="C97" s="251"/>
      <c r="D97" s="231"/>
      <c r="E97" s="232"/>
      <c r="F97" s="233"/>
    </row>
    <row r="98" spans="1:7">
      <c r="B98" s="231">
        <v>18</v>
      </c>
      <c r="C98" s="251"/>
      <c r="D98" s="231"/>
      <c r="E98" s="232"/>
      <c r="F98" s="233"/>
    </row>
    <row r="99" spans="1:7">
      <c r="B99" s="231">
        <v>19</v>
      </c>
      <c r="C99" s="251"/>
      <c r="D99" s="231"/>
      <c r="E99" s="232"/>
      <c r="F99" s="233"/>
    </row>
    <row r="100" spans="1:7" ht="12" customHeight="1">
      <c r="B100" s="231">
        <v>20</v>
      </c>
      <c r="C100" s="251"/>
      <c r="D100" s="231"/>
      <c r="E100" s="232"/>
      <c r="F100" s="233"/>
    </row>
    <row r="101" spans="1:7">
      <c r="B101" s="231">
        <v>21</v>
      </c>
      <c r="C101" s="251"/>
      <c r="D101" s="231"/>
      <c r="E101" s="232"/>
      <c r="F101" s="233"/>
    </row>
    <row r="102" spans="1:7">
      <c r="B102" s="231">
        <v>22</v>
      </c>
      <c r="C102" s="251"/>
      <c r="D102" s="231"/>
      <c r="E102" s="232"/>
      <c r="F102" s="233"/>
    </row>
    <row r="103" spans="1:7">
      <c r="B103" s="231">
        <v>23</v>
      </c>
      <c r="C103" s="251"/>
      <c r="D103" s="231"/>
      <c r="E103" s="232"/>
      <c r="F103" s="233"/>
    </row>
    <row r="104" spans="1:7">
      <c r="B104" s="231">
        <v>24</v>
      </c>
      <c r="C104" s="251"/>
      <c r="D104" s="231"/>
      <c r="E104" s="232"/>
      <c r="F104" s="233"/>
    </row>
    <row r="105" spans="1:7">
      <c r="B105" s="231">
        <v>25</v>
      </c>
      <c r="C105" s="251"/>
      <c r="D105" s="231"/>
      <c r="E105" s="232"/>
      <c r="F105" s="233"/>
    </row>
    <row r="106" spans="1:7">
      <c r="B106" s="231">
        <v>26</v>
      </c>
      <c r="C106" s="251"/>
      <c r="D106" s="231"/>
      <c r="E106" s="232"/>
      <c r="F106" s="233"/>
    </row>
    <row r="107" spans="1:7">
      <c r="B107" s="486" t="s">
        <v>1</v>
      </c>
      <c r="C107" s="486"/>
      <c r="D107" s="486"/>
      <c r="E107" s="486"/>
      <c r="F107" s="21">
        <f>SUM(F81:F106)</f>
        <v>0</v>
      </c>
    </row>
    <row r="109" spans="1:7">
      <c r="A109" s="472" t="s">
        <v>404</v>
      </c>
      <c r="B109" s="472"/>
      <c r="C109" s="472"/>
      <c r="D109" s="472"/>
      <c r="E109" s="472"/>
      <c r="F109" s="472"/>
      <c r="G109" s="472"/>
    </row>
    <row r="112" spans="1:7" ht="17.5">
      <c r="A112">
        <v>2.5</v>
      </c>
      <c r="B112" s="473" t="s">
        <v>274</v>
      </c>
      <c r="C112" s="473"/>
      <c r="D112" s="473"/>
      <c r="E112" s="473"/>
      <c r="F112" s="473"/>
    </row>
    <row r="114" spans="2:6" ht="28">
      <c r="B114" s="208" t="s">
        <v>146</v>
      </c>
      <c r="C114" s="209" t="s">
        <v>128</v>
      </c>
      <c r="D114" s="209" t="s">
        <v>152</v>
      </c>
      <c r="E114" s="209" t="s">
        <v>153</v>
      </c>
      <c r="F114" s="209" t="s">
        <v>158</v>
      </c>
    </row>
    <row r="115" spans="2:6">
      <c r="B115" s="229"/>
      <c r="C115" s="230"/>
      <c r="D115" s="229"/>
      <c r="E115" s="234"/>
      <c r="F115" s="225"/>
    </row>
    <row r="116" spans="2:6">
      <c r="B116" s="229"/>
      <c r="C116" s="230"/>
      <c r="D116" s="229"/>
      <c r="E116" s="234"/>
      <c r="F116" s="225"/>
    </row>
    <row r="117" spans="2:6">
      <c r="B117" s="229"/>
      <c r="C117" s="230"/>
      <c r="D117" s="229"/>
      <c r="E117" s="234"/>
      <c r="F117" s="225"/>
    </row>
    <row r="118" spans="2:6">
      <c r="B118" s="229"/>
      <c r="C118" s="230"/>
      <c r="D118" s="229"/>
      <c r="E118" s="234"/>
      <c r="F118" s="225"/>
    </row>
    <row r="119" spans="2:6">
      <c r="B119" s="229"/>
      <c r="C119" s="230"/>
      <c r="D119" s="229"/>
      <c r="E119" s="234"/>
      <c r="F119" s="225"/>
    </row>
    <row r="120" spans="2:6">
      <c r="B120" s="484"/>
      <c r="C120" s="485"/>
      <c r="D120" s="397"/>
      <c r="E120" s="400"/>
      <c r="F120" s="228"/>
    </row>
    <row r="121" spans="2:6">
      <c r="B121" s="229"/>
      <c r="C121" s="230"/>
      <c r="D121" s="229"/>
      <c r="E121" s="234"/>
      <c r="F121" s="225"/>
    </row>
    <row r="122" spans="2:6">
      <c r="B122" s="229"/>
      <c r="C122" s="230"/>
      <c r="D122" s="229"/>
      <c r="E122" s="234"/>
      <c r="F122" s="225"/>
    </row>
    <row r="123" spans="2:6">
      <c r="B123" s="229"/>
      <c r="C123" s="230"/>
      <c r="D123" s="229"/>
      <c r="E123" s="234"/>
      <c r="F123" s="225"/>
    </row>
    <row r="124" spans="2:6">
      <c r="B124" s="229"/>
      <c r="C124" s="230"/>
      <c r="D124" s="229"/>
      <c r="E124" s="234"/>
      <c r="F124" s="225"/>
    </row>
    <row r="125" spans="2:6">
      <c r="B125" s="229"/>
      <c r="C125" s="230"/>
      <c r="D125" s="229"/>
      <c r="E125" s="234"/>
      <c r="F125" s="225"/>
    </row>
    <row r="126" spans="2:6">
      <c r="B126" s="229"/>
      <c r="C126" s="230"/>
      <c r="D126" s="229"/>
      <c r="E126" s="234"/>
      <c r="F126" s="225"/>
    </row>
    <row r="127" spans="2:6">
      <c r="B127" s="484"/>
      <c r="C127" s="485"/>
      <c r="D127" s="397"/>
      <c r="E127" s="400"/>
      <c r="F127" s="228"/>
    </row>
    <row r="128" spans="2:6">
      <c r="B128" s="229"/>
      <c r="C128" s="230"/>
      <c r="D128" s="229"/>
      <c r="E128" s="234"/>
      <c r="F128" s="225"/>
    </row>
    <row r="129" spans="1:7">
      <c r="B129" s="229"/>
      <c r="C129" s="230"/>
      <c r="D129" s="229"/>
      <c r="E129" s="234"/>
      <c r="F129" s="225"/>
    </row>
    <row r="130" spans="1:7">
      <c r="B130" s="229"/>
      <c r="C130" s="230"/>
      <c r="D130" s="229"/>
      <c r="E130" s="234"/>
      <c r="F130" s="225"/>
    </row>
    <row r="131" spans="1:7">
      <c r="B131" s="229"/>
      <c r="C131" s="230"/>
      <c r="D131" s="229"/>
      <c r="E131" s="234"/>
      <c r="F131" s="225"/>
    </row>
    <row r="132" spans="1:7">
      <c r="B132" s="229"/>
      <c r="C132" s="230"/>
      <c r="D132" s="229"/>
      <c r="E132" s="234"/>
      <c r="F132" s="225"/>
    </row>
    <row r="133" spans="1:7">
      <c r="B133" s="229"/>
      <c r="C133" s="230"/>
      <c r="D133" s="229"/>
      <c r="E133" s="234"/>
      <c r="F133" s="225"/>
    </row>
    <row r="134" spans="1:7">
      <c r="B134" s="229"/>
      <c r="C134" s="230"/>
      <c r="D134" s="229"/>
      <c r="E134" s="234"/>
      <c r="F134" s="225"/>
    </row>
    <row r="135" spans="1:7">
      <c r="B135" s="484" t="s">
        <v>171</v>
      </c>
      <c r="C135" s="485"/>
      <c r="D135" s="397"/>
      <c r="E135" s="400"/>
      <c r="F135" s="228">
        <f>SUM(F128:F134)</f>
        <v>0</v>
      </c>
    </row>
    <row r="136" spans="1:7">
      <c r="B136" s="477" t="s">
        <v>1</v>
      </c>
      <c r="C136" s="477"/>
      <c r="D136" s="477"/>
      <c r="E136" s="477"/>
      <c r="F136" s="211">
        <f>F120+F135+F127</f>
        <v>0</v>
      </c>
    </row>
    <row r="137" spans="1:7">
      <c r="A137" s="483" t="s">
        <v>438</v>
      </c>
      <c r="B137" s="483"/>
      <c r="C137" s="483"/>
      <c r="D137" s="483"/>
      <c r="E137" s="483"/>
      <c r="F137" s="483"/>
      <c r="G137" s="483"/>
    </row>
    <row r="140" spans="1:7" ht="17.5">
      <c r="A140">
        <v>2.6</v>
      </c>
      <c r="B140" s="473" t="s">
        <v>252</v>
      </c>
      <c r="C140" s="473"/>
      <c r="D140" s="473"/>
    </row>
    <row r="141" spans="1:7" ht="15" thickBot="1"/>
    <row r="142" spans="1:7" ht="28.5" thickBot="1">
      <c r="B142" s="220" t="s">
        <v>146</v>
      </c>
      <c r="C142" s="221" t="s">
        <v>128</v>
      </c>
      <c r="D142" s="221" t="s">
        <v>368</v>
      </c>
    </row>
    <row r="143" spans="1:7" ht="15" thickBot="1">
      <c r="B143" s="415">
        <v>1</v>
      </c>
      <c r="C143" s="416" t="s">
        <v>724</v>
      </c>
      <c r="D143" s="417">
        <v>50000</v>
      </c>
    </row>
    <row r="144" spans="1:7" ht="15" thickBot="1">
      <c r="B144" s="415">
        <v>2</v>
      </c>
      <c r="C144" s="416" t="s">
        <v>723</v>
      </c>
      <c r="D144" s="417">
        <v>70000</v>
      </c>
    </row>
    <row r="145" spans="1:5" ht="15" thickBot="1">
      <c r="B145" s="443"/>
      <c r="C145" s="416"/>
      <c r="D145" s="417"/>
    </row>
    <row r="146" spans="1:5" ht="15" thickBot="1">
      <c r="B146" s="480" t="s">
        <v>1</v>
      </c>
      <c r="C146" s="481"/>
      <c r="D146" s="418">
        <f>SUM(D143:D144)</f>
        <v>120000</v>
      </c>
    </row>
    <row r="148" spans="1:5" ht="43.5" customHeight="1">
      <c r="A148" s="482" t="s">
        <v>681</v>
      </c>
      <c r="B148" s="482"/>
      <c r="C148" s="482"/>
      <c r="D148" s="482"/>
      <c r="E148" s="482"/>
    </row>
  </sheetData>
  <mergeCells count="25">
    <mergeCell ref="B73:E73"/>
    <mergeCell ref="B64:F64"/>
    <mergeCell ref="A75:G75"/>
    <mergeCell ref="B107:E107"/>
    <mergeCell ref="B78:F78"/>
    <mergeCell ref="B146:C146"/>
    <mergeCell ref="A148:E148"/>
    <mergeCell ref="A109:G109"/>
    <mergeCell ref="B136:E136"/>
    <mergeCell ref="B112:F112"/>
    <mergeCell ref="A137:G137"/>
    <mergeCell ref="B140:D140"/>
    <mergeCell ref="B135:C135"/>
    <mergeCell ref="B127:C127"/>
    <mergeCell ref="B120:C120"/>
    <mergeCell ref="B10:F10"/>
    <mergeCell ref="B2:G2"/>
    <mergeCell ref="B13:G13"/>
    <mergeCell ref="B60:H60"/>
    <mergeCell ref="B58:F58"/>
    <mergeCell ref="B15:H15"/>
    <mergeCell ref="B34:C34"/>
    <mergeCell ref="B47:C47"/>
    <mergeCell ref="B52:C52"/>
    <mergeCell ref="B56:C56"/>
  </mergeCells>
  <pageMargins left="0.7" right="0.7" top="0.75" bottom="0.75" header="0.3" footer="0.3"/>
  <pageSetup scale="75" orientation="portrait" r:id="rId1"/>
  <rowBreaks count="1" manualBreakCount="1">
    <brk id="11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topLeftCell="A105" zoomScale="115" zoomScaleSheetLayoutView="115" workbookViewId="0">
      <selection activeCell="A105" sqref="A105"/>
    </sheetView>
  </sheetViews>
  <sheetFormatPr defaultRowHeight="14.5"/>
  <cols>
    <col min="1" max="1" width="25.81640625" bestFit="1" customWidth="1"/>
    <col min="2" max="2" width="14.54296875" bestFit="1" customWidth="1"/>
    <col min="3" max="9" width="11.81640625" bestFit="1" customWidth="1"/>
    <col min="10" max="10" width="14.7265625" bestFit="1" customWidth="1"/>
    <col min="11" max="17" width="11.81640625" bestFit="1" customWidth="1"/>
  </cols>
  <sheetData>
    <row r="2" spans="1:11" ht="17.5">
      <c r="A2" s="475" t="s">
        <v>688</v>
      </c>
      <c r="B2" s="475"/>
      <c r="C2" s="475"/>
      <c r="D2" s="475"/>
      <c r="E2" s="475"/>
      <c r="F2" s="475"/>
      <c r="G2" s="475"/>
      <c r="H2" s="475"/>
      <c r="I2" s="475"/>
      <c r="J2" s="475"/>
      <c r="K2" s="475"/>
    </row>
    <row r="4" spans="1:11">
      <c r="A4" s="90"/>
      <c r="B4" s="90"/>
      <c r="C4" s="90"/>
      <c r="D4" s="90"/>
      <c r="E4" s="175">
        <v>1</v>
      </c>
      <c r="F4" s="180">
        <f>(E4*5%)+E4</f>
        <v>1.05</v>
      </c>
      <c r="G4" s="180">
        <f t="shared" ref="G4:K4" si="0">(F4*5%)+F4</f>
        <v>1.1025</v>
      </c>
      <c r="H4" s="180">
        <f t="shared" si="0"/>
        <v>1.1576250000000001</v>
      </c>
      <c r="I4" s="180">
        <f t="shared" si="0"/>
        <v>1.2155062500000002</v>
      </c>
      <c r="J4" s="180">
        <f t="shared" si="0"/>
        <v>1.2762815625000004</v>
      </c>
      <c r="K4" s="180">
        <f t="shared" si="0"/>
        <v>1.3400956406250004</v>
      </c>
    </row>
    <row r="5" spans="1:11">
      <c r="A5" s="90"/>
      <c r="B5" s="90"/>
      <c r="C5" s="90"/>
      <c r="D5" s="90"/>
      <c r="E5" s="90"/>
      <c r="F5" s="90"/>
      <c r="G5" s="90"/>
      <c r="H5" s="90"/>
      <c r="I5" s="90"/>
      <c r="J5" s="90"/>
      <c r="K5" s="90"/>
    </row>
    <row r="6" spans="1:11">
      <c r="A6" s="144" t="s">
        <v>0</v>
      </c>
      <c r="B6" s="144" t="s">
        <v>133</v>
      </c>
      <c r="C6" s="144" t="s">
        <v>379</v>
      </c>
      <c r="D6" s="144" t="s">
        <v>286</v>
      </c>
      <c r="E6" s="116" t="s">
        <v>2</v>
      </c>
      <c r="F6" s="116" t="s">
        <v>3</v>
      </c>
      <c r="G6" s="116" t="s">
        <v>4</v>
      </c>
      <c r="H6" s="116" t="s">
        <v>5</v>
      </c>
      <c r="I6" s="116" t="s">
        <v>6</v>
      </c>
      <c r="J6" s="116" t="s">
        <v>169</v>
      </c>
      <c r="K6" s="116" t="s">
        <v>168</v>
      </c>
    </row>
    <row r="7" spans="1:11">
      <c r="A7" s="91"/>
      <c r="B7" s="91"/>
      <c r="C7" s="91"/>
      <c r="D7" s="91"/>
      <c r="E7" s="91"/>
      <c r="F7" s="91"/>
      <c r="G7" s="91"/>
      <c r="H7" s="91"/>
      <c r="I7" s="91"/>
      <c r="J7" s="91"/>
      <c r="K7" s="91"/>
    </row>
    <row r="8" spans="1:11">
      <c r="A8" s="91" t="s">
        <v>322</v>
      </c>
      <c r="B8" s="91" t="s">
        <v>380</v>
      </c>
      <c r="C8" s="95">
        <v>1</v>
      </c>
      <c r="D8" s="191">
        <v>25000</v>
      </c>
      <c r="E8" s="92">
        <f>$C8*$D8*12*E$4</f>
        <v>300000</v>
      </c>
      <c r="F8" s="92">
        <f t="shared" ref="F8:K8" si="1">$C8*$D8*12*F$4</f>
        <v>315000</v>
      </c>
      <c r="G8" s="92">
        <f t="shared" si="1"/>
        <v>330750</v>
      </c>
      <c r="H8" s="92">
        <f t="shared" si="1"/>
        <v>347287.50000000006</v>
      </c>
      <c r="I8" s="92">
        <f t="shared" si="1"/>
        <v>364651.87500000006</v>
      </c>
      <c r="J8" s="92">
        <f t="shared" si="1"/>
        <v>382884.46875000012</v>
      </c>
      <c r="K8" s="92">
        <f t="shared" si="1"/>
        <v>402028.69218750013</v>
      </c>
    </row>
    <row r="9" spans="1:11">
      <c r="A9" s="91" t="s">
        <v>187</v>
      </c>
      <c r="B9" s="91" t="s">
        <v>380</v>
      </c>
      <c r="C9" s="95">
        <v>1</v>
      </c>
      <c r="D9" s="191">
        <v>20000</v>
      </c>
      <c r="E9" s="92">
        <f>$C9*$D9*12*E$4</f>
        <v>240000</v>
      </c>
      <c r="F9" s="92">
        <f t="shared" ref="F9:K10" si="2">$C9*$D9*12*F$4</f>
        <v>252000</v>
      </c>
      <c r="G9" s="92">
        <f t="shared" si="2"/>
        <v>264600</v>
      </c>
      <c r="H9" s="92">
        <f t="shared" si="2"/>
        <v>277830.00000000006</v>
      </c>
      <c r="I9" s="92">
        <f t="shared" si="2"/>
        <v>291721.50000000006</v>
      </c>
      <c r="J9" s="92">
        <f t="shared" si="2"/>
        <v>306307.57500000007</v>
      </c>
      <c r="K9" s="92">
        <f t="shared" si="2"/>
        <v>321622.9537500001</v>
      </c>
    </row>
    <row r="10" spans="1:11">
      <c r="A10" s="91" t="s">
        <v>192</v>
      </c>
      <c r="B10" s="91" t="s">
        <v>380</v>
      </c>
      <c r="C10" s="95">
        <v>3</v>
      </c>
      <c r="D10" s="191">
        <v>10000</v>
      </c>
      <c r="E10" s="92">
        <f>$C10*$D10*12*E$4</f>
        <v>360000</v>
      </c>
      <c r="F10" s="92">
        <f t="shared" si="2"/>
        <v>378000</v>
      </c>
      <c r="G10" s="92">
        <f t="shared" si="2"/>
        <v>396900</v>
      </c>
      <c r="H10" s="92">
        <f t="shared" si="2"/>
        <v>416745.00000000006</v>
      </c>
      <c r="I10" s="92">
        <f t="shared" si="2"/>
        <v>437582.25000000006</v>
      </c>
      <c r="J10" s="92">
        <f t="shared" si="2"/>
        <v>459461.3625000001</v>
      </c>
      <c r="K10" s="92">
        <f t="shared" si="2"/>
        <v>482434.43062500015</v>
      </c>
    </row>
    <row r="11" spans="1:11">
      <c r="A11" s="91" t="s">
        <v>131</v>
      </c>
      <c r="B11" s="91" t="s">
        <v>381</v>
      </c>
      <c r="C11" s="95">
        <v>12</v>
      </c>
      <c r="D11" s="191">
        <v>2000</v>
      </c>
      <c r="E11" s="92">
        <f>$C11*$D11*E$4</f>
        <v>24000</v>
      </c>
      <c r="F11" s="92">
        <f t="shared" ref="F11:K15" si="3">$C11*$D11*F$4</f>
        <v>25200</v>
      </c>
      <c r="G11" s="92">
        <f t="shared" si="3"/>
        <v>26460</v>
      </c>
      <c r="H11" s="92">
        <f t="shared" si="3"/>
        <v>27783.000000000004</v>
      </c>
      <c r="I11" s="92">
        <f t="shared" si="3"/>
        <v>29172.150000000005</v>
      </c>
      <c r="J11" s="92">
        <f t="shared" si="3"/>
        <v>30630.757500000007</v>
      </c>
      <c r="K11" s="92">
        <f t="shared" si="3"/>
        <v>32162.295375000009</v>
      </c>
    </row>
    <row r="12" spans="1:11">
      <c r="A12" s="91" t="s">
        <v>10</v>
      </c>
      <c r="B12" s="91" t="s">
        <v>381</v>
      </c>
      <c r="C12" s="95">
        <v>12</v>
      </c>
      <c r="D12" s="191">
        <v>5000</v>
      </c>
      <c r="E12" s="92">
        <f t="shared" ref="E12:E15" si="4">$C12*$D12*E$4</f>
        <v>60000</v>
      </c>
      <c r="F12" s="92">
        <f t="shared" si="3"/>
        <v>63000</v>
      </c>
      <c r="G12" s="92">
        <f t="shared" si="3"/>
        <v>66150</v>
      </c>
      <c r="H12" s="92">
        <f t="shared" si="3"/>
        <v>69457.500000000015</v>
      </c>
      <c r="I12" s="92">
        <f t="shared" si="3"/>
        <v>72930.375000000015</v>
      </c>
      <c r="J12" s="92">
        <f t="shared" si="3"/>
        <v>76576.893750000017</v>
      </c>
      <c r="K12" s="92">
        <f t="shared" si="3"/>
        <v>80405.738437500026</v>
      </c>
    </row>
    <row r="13" spans="1:11">
      <c r="A13" s="91" t="s">
        <v>188</v>
      </c>
      <c r="B13" s="91" t="s">
        <v>381</v>
      </c>
      <c r="C13" s="95">
        <v>12</v>
      </c>
      <c r="D13" s="191">
        <v>5000</v>
      </c>
      <c r="E13" s="92">
        <f t="shared" si="4"/>
        <v>60000</v>
      </c>
      <c r="F13" s="92">
        <f t="shared" si="3"/>
        <v>63000</v>
      </c>
      <c r="G13" s="92">
        <f t="shared" si="3"/>
        <v>66150</v>
      </c>
      <c r="H13" s="92">
        <f t="shared" si="3"/>
        <v>69457.500000000015</v>
      </c>
      <c r="I13" s="92">
        <f t="shared" si="3"/>
        <v>72930.375000000015</v>
      </c>
      <c r="J13" s="92">
        <f t="shared" si="3"/>
        <v>76576.893750000017</v>
      </c>
      <c r="K13" s="92">
        <f t="shared" si="3"/>
        <v>80405.738437500026</v>
      </c>
    </row>
    <row r="14" spans="1:11">
      <c r="A14" s="91" t="s">
        <v>160</v>
      </c>
      <c r="B14" s="91" t="s">
        <v>381</v>
      </c>
      <c r="C14" s="95">
        <v>12</v>
      </c>
      <c r="D14" s="191">
        <v>100</v>
      </c>
      <c r="E14" s="92">
        <f t="shared" si="4"/>
        <v>1200</v>
      </c>
      <c r="F14" s="92">
        <f t="shared" si="3"/>
        <v>1260</v>
      </c>
      <c r="G14" s="92">
        <f t="shared" si="3"/>
        <v>1323</v>
      </c>
      <c r="H14" s="92">
        <f t="shared" si="3"/>
        <v>1389.15</v>
      </c>
      <c r="I14" s="92">
        <f t="shared" si="3"/>
        <v>1458.6075000000003</v>
      </c>
      <c r="J14" s="92">
        <f t="shared" si="3"/>
        <v>1531.5378750000004</v>
      </c>
      <c r="K14" s="92">
        <f t="shared" si="3"/>
        <v>1608.1147687500004</v>
      </c>
    </row>
    <row r="15" spans="1:11">
      <c r="A15" s="91" t="s">
        <v>189</v>
      </c>
      <c r="B15" s="91" t="s">
        <v>381</v>
      </c>
      <c r="C15" s="95">
        <v>12</v>
      </c>
      <c r="D15" s="191">
        <v>10000</v>
      </c>
      <c r="E15" s="92">
        <f t="shared" si="4"/>
        <v>120000</v>
      </c>
      <c r="F15" s="92">
        <f t="shared" si="3"/>
        <v>126000</v>
      </c>
      <c r="G15" s="92">
        <f t="shared" si="3"/>
        <v>132300</v>
      </c>
      <c r="H15" s="92">
        <f t="shared" si="3"/>
        <v>138915.00000000003</v>
      </c>
      <c r="I15" s="92">
        <f t="shared" si="3"/>
        <v>145860.75000000003</v>
      </c>
      <c r="J15" s="92">
        <f t="shared" si="3"/>
        <v>153153.78750000003</v>
      </c>
      <c r="K15" s="92">
        <f t="shared" si="3"/>
        <v>160811.47687500005</v>
      </c>
    </row>
    <row r="16" spans="1:11">
      <c r="A16" s="91" t="s">
        <v>190</v>
      </c>
      <c r="B16" s="91" t="s">
        <v>382</v>
      </c>
      <c r="C16" s="95">
        <v>1</v>
      </c>
      <c r="D16" s="191">
        <v>100000</v>
      </c>
      <c r="E16" s="92">
        <f>$D16*E$4*$C16</f>
        <v>100000</v>
      </c>
      <c r="F16" s="92">
        <f t="shared" ref="F16:K22" si="5">$D16*F$4*$C16</f>
        <v>105000</v>
      </c>
      <c r="G16" s="92">
        <f t="shared" si="5"/>
        <v>110250</v>
      </c>
      <c r="H16" s="92">
        <f t="shared" si="5"/>
        <v>115762.50000000001</v>
      </c>
      <c r="I16" s="92">
        <f t="shared" si="5"/>
        <v>121550.62500000003</v>
      </c>
      <c r="J16" s="92">
        <f t="shared" si="5"/>
        <v>127628.15625000003</v>
      </c>
      <c r="K16" s="92">
        <f t="shared" si="5"/>
        <v>134009.56406250005</v>
      </c>
    </row>
    <row r="17" spans="1:17">
      <c r="A17" s="91"/>
      <c r="B17" s="91"/>
      <c r="C17" s="95"/>
      <c r="D17" s="191"/>
      <c r="E17" s="92">
        <f t="shared" ref="E17:E22" si="6">$D17*E$4*$C17</f>
        <v>0</v>
      </c>
      <c r="F17" s="92">
        <f t="shared" si="5"/>
        <v>0</v>
      </c>
      <c r="G17" s="92">
        <f t="shared" si="5"/>
        <v>0</v>
      </c>
      <c r="H17" s="92">
        <f t="shared" si="5"/>
        <v>0</v>
      </c>
      <c r="I17" s="92">
        <f t="shared" si="5"/>
        <v>0</v>
      </c>
      <c r="J17" s="92">
        <f t="shared" si="5"/>
        <v>0</v>
      </c>
      <c r="K17" s="92">
        <f t="shared" si="5"/>
        <v>0</v>
      </c>
    </row>
    <row r="18" spans="1:17">
      <c r="A18" s="91"/>
      <c r="B18" s="91"/>
      <c r="C18" s="95"/>
      <c r="D18" s="191"/>
      <c r="E18" s="92">
        <f t="shared" si="6"/>
        <v>0</v>
      </c>
      <c r="F18" s="92">
        <f t="shared" si="5"/>
        <v>0</v>
      </c>
      <c r="G18" s="92">
        <f t="shared" si="5"/>
        <v>0</v>
      </c>
      <c r="H18" s="92">
        <f t="shared" si="5"/>
        <v>0</v>
      </c>
      <c r="I18" s="92">
        <f t="shared" si="5"/>
        <v>0</v>
      </c>
      <c r="J18" s="92">
        <f t="shared" si="5"/>
        <v>0</v>
      </c>
      <c r="K18" s="92">
        <f t="shared" si="5"/>
        <v>0</v>
      </c>
    </row>
    <row r="19" spans="1:17">
      <c r="A19" s="91"/>
      <c r="B19" s="91"/>
      <c r="C19" s="95"/>
      <c r="D19" s="191"/>
      <c r="E19" s="92">
        <f t="shared" si="6"/>
        <v>0</v>
      </c>
      <c r="F19" s="92">
        <f t="shared" si="5"/>
        <v>0</v>
      </c>
      <c r="G19" s="92">
        <f t="shared" si="5"/>
        <v>0</v>
      </c>
      <c r="H19" s="92">
        <f t="shared" si="5"/>
        <v>0</v>
      </c>
      <c r="I19" s="92">
        <f t="shared" si="5"/>
        <v>0</v>
      </c>
      <c r="J19" s="92">
        <f t="shared" si="5"/>
        <v>0</v>
      </c>
      <c r="K19" s="92">
        <f t="shared" si="5"/>
        <v>0</v>
      </c>
    </row>
    <row r="20" spans="1:17">
      <c r="A20" s="91"/>
      <c r="B20" s="91"/>
      <c r="C20" s="95"/>
      <c r="D20" s="191"/>
      <c r="E20" s="92">
        <f t="shared" si="6"/>
        <v>0</v>
      </c>
      <c r="F20" s="92">
        <f t="shared" si="5"/>
        <v>0</v>
      </c>
      <c r="G20" s="92">
        <f t="shared" si="5"/>
        <v>0</v>
      </c>
      <c r="H20" s="92">
        <f t="shared" si="5"/>
        <v>0</v>
      </c>
      <c r="I20" s="92">
        <f t="shared" si="5"/>
        <v>0</v>
      </c>
      <c r="J20" s="92">
        <f t="shared" si="5"/>
        <v>0</v>
      </c>
      <c r="K20" s="92">
        <f t="shared" si="5"/>
        <v>0</v>
      </c>
    </row>
    <row r="21" spans="1:17">
      <c r="A21" s="91"/>
      <c r="B21" s="91"/>
      <c r="C21" s="95"/>
      <c r="D21" s="191"/>
      <c r="E21" s="92">
        <f t="shared" si="6"/>
        <v>0</v>
      </c>
      <c r="F21" s="92">
        <f t="shared" si="5"/>
        <v>0</v>
      </c>
      <c r="G21" s="92">
        <f t="shared" si="5"/>
        <v>0</v>
      </c>
      <c r="H21" s="92">
        <f t="shared" si="5"/>
        <v>0</v>
      </c>
      <c r="I21" s="92">
        <f t="shared" si="5"/>
        <v>0</v>
      </c>
      <c r="J21" s="92">
        <f t="shared" si="5"/>
        <v>0</v>
      </c>
      <c r="K21" s="92">
        <f t="shared" si="5"/>
        <v>0</v>
      </c>
    </row>
    <row r="22" spans="1:17">
      <c r="A22" s="91"/>
      <c r="B22" s="91"/>
      <c r="C22" s="95"/>
      <c r="D22" s="191"/>
      <c r="E22" s="92">
        <f t="shared" si="6"/>
        <v>0</v>
      </c>
      <c r="F22" s="92">
        <f t="shared" si="5"/>
        <v>0</v>
      </c>
      <c r="G22" s="92">
        <f t="shared" si="5"/>
        <v>0</v>
      </c>
      <c r="H22" s="92">
        <f t="shared" si="5"/>
        <v>0</v>
      </c>
      <c r="I22" s="92">
        <f t="shared" si="5"/>
        <v>0</v>
      </c>
      <c r="J22" s="92">
        <f t="shared" si="5"/>
        <v>0</v>
      </c>
      <c r="K22" s="92">
        <f t="shared" si="5"/>
        <v>0</v>
      </c>
    </row>
    <row r="23" spans="1:17">
      <c r="A23" s="93" t="s">
        <v>132</v>
      </c>
      <c r="B23" s="93"/>
      <c r="C23" s="97"/>
      <c r="D23" s="421"/>
      <c r="E23" s="111">
        <f t="shared" ref="E23:K23" si="7">SUM(E8:E22)</f>
        <v>1265200</v>
      </c>
      <c r="F23" s="111">
        <f t="shared" si="7"/>
        <v>1328460</v>
      </c>
      <c r="G23" s="111">
        <f t="shared" si="7"/>
        <v>1394883</v>
      </c>
      <c r="H23" s="111">
        <f t="shared" si="7"/>
        <v>1464627.1500000001</v>
      </c>
      <c r="I23" s="111">
        <f t="shared" si="7"/>
        <v>1537858.5075000001</v>
      </c>
      <c r="J23" s="111">
        <f t="shared" si="7"/>
        <v>1614751.4328750004</v>
      </c>
      <c r="K23" s="111">
        <f t="shared" si="7"/>
        <v>1695489.0045187508</v>
      </c>
    </row>
    <row r="25" spans="1:17">
      <c r="A25" s="5" t="s">
        <v>704</v>
      </c>
    </row>
    <row r="28" spans="1:17">
      <c r="A28" s="489"/>
      <c r="B28" s="489"/>
      <c r="C28" s="489"/>
      <c r="D28" s="489"/>
      <c r="E28" s="489"/>
      <c r="F28" s="489"/>
      <c r="G28" s="489"/>
      <c r="H28" s="489"/>
      <c r="I28" s="489"/>
      <c r="J28" s="489"/>
      <c r="K28" s="489"/>
      <c r="L28" s="489"/>
      <c r="M28" s="489"/>
      <c r="N28" s="489"/>
      <c r="O28" s="489"/>
    </row>
    <row r="29" spans="1:17" ht="17.5">
      <c r="A29" s="487" t="s">
        <v>550</v>
      </c>
      <c r="B29" s="487"/>
      <c r="C29" s="487"/>
      <c r="D29" s="487"/>
      <c r="E29" s="487"/>
      <c r="F29" s="487"/>
      <c r="G29" s="487"/>
      <c r="H29" s="487"/>
      <c r="I29" s="487"/>
      <c r="J29" s="487"/>
      <c r="K29" s="487"/>
      <c r="L29" s="487"/>
      <c r="M29" s="487"/>
      <c r="N29" s="487"/>
      <c r="O29" s="487"/>
      <c r="P29" s="487"/>
      <c r="Q29" s="487"/>
    </row>
    <row r="30" spans="1:17" s="13" customFormat="1">
      <c r="A30" s="145"/>
      <c r="B30" s="145"/>
      <c r="C30" s="145"/>
      <c r="D30" s="145"/>
      <c r="E30" s="145"/>
      <c r="F30" s="145"/>
      <c r="G30" s="145"/>
      <c r="H30" s="145"/>
      <c r="I30" s="145"/>
      <c r="J30" s="145"/>
      <c r="K30" s="145"/>
      <c r="L30" s="145"/>
      <c r="M30" s="145"/>
      <c r="N30" s="145"/>
      <c r="O30" s="145"/>
    </row>
    <row r="31" spans="1:17">
      <c r="A31" s="90"/>
      <c r="B31" s="90"/>
      <c r="C31" s="490" t="s">
        <v>193</v>
      </c>
      <c r="D31" s="490"/>
      <c r="E31" s="490"/>
      <c r="F31" s="490"/>
      <c r="G31" s="490"/>
      <c r="H31" s="490"/>
      <c r="I31" s="490"/>
      <c r="J31" s="90"/>
      <c r="K31" s="491" t="s">
        <v>194</v>
      </c>
      <c r="L31" s="491"/>
      <c r="M31" s="491"/>
      <c r="N31" s="491"/>
      <c r="O31" s="491"/>
      <c r="P31" s="491"/>
      <c r="Q31" s="491"/>
    </row>
    <row r="32" spans="1:17">
      <c r="A32" s="165" t="s">
        <v>0</v>
      </c>
      <c r="B32" s="158"/>
      <c r="C32" s="59" t="s">
        <v>2</v>
      </c>
      <c r="D32" s="59" t="s">
        <v>3</v>
      </c>
      <c r="E32" s="59" t="s">
        <v>4</v>
      </c>
      <c r="F32" s="59" t="s">
        <v>5</v>
      </c>
      <c r="G32" s="59" t="s">
        <v>6</v>
      </c>
      <c r="H32" s="59" t="s">
        <v>169</v>
      </c>
      <c r="I32" s="59" t="s">
        <v>168</v>
      </c>
      <c r="J32" s="166"/>
      <c r="K32" s="59" t="s">
        <v>2</v>
      </c>
      <c r="L32" s="59" t="s">
        <v>3</v>
      </c>
      <c r="M32" s="59" t="s">
        <v>4</v>
      </c>
      <c r="N32" s="59" t="s">
        <v>5</v>
      </c>
      <c r="O32" s="59" t="s">
        <v>6</v>
      </c>
      <c r="P32" s="59" t="s">
        <v>169</v>
      </c>
      <c r="Q32" s="59" t="s">
        <v>168</v>
      </c>
    </row>
    <row r="33" spans="1:17">
      <c r="A33" s="159" t="s">
        <v>195</v>
      </c>
      <c r="B33" s="95"/>
      <c r="C33" s="95"/>
      <c r="D33" s="95"/>
      <c r="E33" s="95"/>
      <c r="F33" s="95"/>
      <c r="G33" s="160"/>
      <c r="H33" s="160"/>
      <c r="I33" s="160"/>
      <c r="J33" s="95"/>
      <c r="K33" s="95"/>
      <c r="L33" s="95"/>
      <c r="M33" s="95"/>
      <c r="N33" s="95"/>
      <c r="O33" s="160"/>
      <c r="P33" s="160"/>
      <c r="Q33" s="160"/>
    </row>
    <row r="34" spans="1:17">
      <c r="A34" s="159"/>
      <c r="B34" s="95"/>
      <c r="C34" s="95"/>
      <c r="D34" s="95"/>
      <c r="E34" s="95"/>
      <c r="F34" s="95"/>
      <c r="G34" s="160"/>
      <c r="H34" s="160"/>
      <c r="I34" s="160"/>
      <c r="J34" s="95"/>
      <c r="K34" s="95"/>
      <c r="L34" s="95"/>
      <c r="M34" s="95"/>
      <c r="N34" s="95"/>
      <c r="O34" s="160"/>
      <c r="P34" s="160"/>
      <c r="Q34" s="160"/>
    </row>
    <row r="35" spans="1:17">
      <c r="A35" s="161"/>
      <c r="B35" s="161"/>
      <c r="C35" s="95"/>
      <c r="D35" s="95"/>
      <c r="E35" s="95"/>
      <c r="F35" s="95"/>
      <c r="G35" s="95"/>
      <c r="H35" s="95"/>
      <c r="I35" s="95"/>
      <c r="J35" s="95"/>
      <c r="K35" s="95"/>
      <c r="L35" s="95"/>
      <c r="M35" s="95"/>
      <c r="N35" s="95"/>
      <c r="O35" s="95"/>
      <c r="P35" s="95"/>
      <c r="Q35" s="95"/>
    </row>
    <row r="36" spans="1:17">
      <c r="A36" s="162" t="s">
        <v>199</v>
      </c>
      <c r="B36" s="162"/>
      <c r="C36" s="95"/>
      <c r="D36" s="95"/>
      <c r="E36" s="95"/>
      <c r="F36" s="95"/>
      <c r="G36" s="95"/>
      <c r="H36" s="95"/>
      <c r="I36" s="95"/>
      <c r="J36" s="95"/>
      <c r="K36" s="95"/>
      <c r="L36" s="95"/>
      <c r="M36" s="95"/>
      <c r="N36" s="95"/>
      <c r="O36" s="95"/>
      <c r="P36" s="95"/>
      <c r="Q36" s="95"/>
    </row>
    <row r="37" spans="1:17">
      <c r="A37" s="161" t="s">
        <v>196</v>
      </c>
      <c r="B37" s="161"/>
      <c r="C37" s="163">
        <f>'1.Project Cost and MOF'!D5</f>
        <v>26080427</v>
      </c>
      <c r="D37" s="163">
        <f t="shared" ref="D37:I37" si="8">C40</f>
        <v>25253677.4641</v>
      </c>
      <c r="E37" s="163">
        <f t="shared" si="8"/>
        <v>24426927.928199999</v>
      </c>
      <c r="F37" s="163">
        <f t="shared" si="8"/>
        <v>23600178.392299999</v>
      </c>
      <c r="G37" s="163">
        <f t="shared" si="8"/>
        <v>22773428.856399998</v>
      </c>
      <c r="H37" s="163">
        <f t="shared" si="8"/>
        <v>21946679.320499998</v>
      </c>
      <c r="I37" s="163">
        <f t="shared" si="8"/>
        <v>21119929.784599997</v>
      </c>
      <c r="J37" s="95"/>
      <c r="K37" s="163">
        <f>C37</f>
        <v>26080427</v>
      </c>
      <c r="L37" s="163">
        <f t="shared" ref="L37:Q37" si="9">K40</f>
        <v>23472384.300000001</v>
      </c>
      <c r="M37" s="163">
        <f t="shared" si="9"/>
        <v>21125145.870000001</v>
      </c>
      <c r="N37" s="163">
        <f t="shared" si="9"/>
        <v>19012631.283</v>
      </c>
      <c r="O37" s="163">
        <f t="shared" si="9"/>
        <v>17111368.1547</v>
      </c>
      <c r="P37" s="163">
        <f t="shared" si="9"/>
        <v>15400231.339229999</v>
      </c>
      <c r="Q37" s="163">
        <f t="shared" si="9"/>
        <v>13860208.205306999</v>
      </c>
    </row>
    <row r="38" spans="1:17">
      <c r="A38" s="161" t="s">
        <v>17</v>
      </c>
      <c r="B38" s="161"/>
      <c r="C38" s="163">
        <f t="shared" ref="C38:I38" si="10">$C$37*$B$74</f>
        <v>826749.53590000002</v>
      </c>
      <c r="D38" s="163">
        <f t="shared" si="10"/>
        <v>826749.53590000002</v>
      </c>
      <c r="E38" s="163">
        <f t="shared" si="10"/>
        <v>826749.53590000002</v>
      </c>
      <c r="F38" s="163">
        <f t="shared" si="10"/>
        <v>826749.53590000002</v>
      </c>
      <c r="G38" s="163">
        <f t="shared" si="10"/>
        <v>826749.53590000002</v>
      </c>
      <c r="H38" s="163">
        <f t="shared" si="10"/>
        <v>826749.53590000002</v>
      </c>
      <c r="I38" s="163">
        <f t="shared" si="10"/>
        <v>826749.53590000002</v>
      </c>
      <c r="J38" s="95"/>
      <c r="K38" s="163">
        <f t="shared" ref="K38:Q38" si="11">K37*$C$74</f>
        <v>2608042.7000000002</v>
      </c>
      <c r="L38" s="163">
        <f t="shared" si="11"/>
        <v>2347238.4300000002</v>
      </c>
      <c r="M38" s="163">
        <f t="shared" si="11"/>
        <v>2112514.5870000003</v>
      </c>
      <c r="N38" s="163">
        <f t="shared" si="11"/>
        <v>1901263.1283</v>
      </c>
      <c r="O38" s="163">
        <f t="shared" si="11"/>
        <v>1711136.81547</v>
      </c>
      <c r="P38" s="163">
        <f t="shared" si="11"/>
        <v>1540023.133923</v>
      </c>
      <c r="Q38" s="163">
        <f t="shared" si="11"/>
        <v>1386020.8205307</v>
      </c>
    </row>
    <row r="39" spans="1:17">
      <c r="A39" s="161" t="s">
        <v>197</v>
      </c>
      <c r="B39" s="161"/>
      <c r="C39" s="163">
        <f>C38</f>
        <v>826749.53590000002</v>
      </c>
      <c r="D39" s="163">
        <f t="shared" ref="D39:I39" si="12">C39+D38</f>
        <v>1653499.0718</v>
      </c>
      <c r="E39" s="163">
        <f t="shared" si="12"/>
        <v>2480248.6077000001</v>
      </c>
      <c r="F39" s="163">
        <f t="shared" si="12"/>
        <v>3306998.1436000001</v>
      </c>
      <c r="G39" s="163">
        <f t="shared" si="12"/>
        <v>4133747.6795000001</v>
      </c>
      <c r="H39" s="163">
        <f t="shared" si="12"/>
        <v>4960497.2154000001</v>
      </c>
      <c r="I39" s="163">
        <f t="shared" si="12"/>
        <v>5787246.7512999997</v>
      </c>
      <c r="J39" s="95"/>
      <c r="K39" s="163">
        <f>K38</f>
        <v>2608042.7000000002</v>
      </c>
      <c r="L39" s="163">
        <f t="shared" ref="L39:Q39" si="13">K39+L38</f>
        <v>4955281.1300000008</v>
      </c>
      <c r="M39" s="163">
        <f t="shared" si="13"/>
        <v>7067795.7170000011</v>
      </c>
      <c r="N39" s="163">
        <f t="shared" si="13"/>
        <v>8969058.8453000002</v>
      </c>
      <c r="O39" s="163">
        <f t="shared" si="13"/>
        <v>10680195.660770001</v>
      </c>
      <c r="P39" s="163">
        <f t="shared" si="13"/>
        <v>12220218.794693001</v>
      </c>
      <c r="Q39" s="163">
        <f t="shared" si="13"/>
        <v>13606239.6152237</v>
      </c>
    </row>
    <row r="40" spans="1:17">
      <c r="A40" s="161" t="s">
        <v>198</v>
      </c>
      <c r="B40" s="161"/>
      <c r="C40" s="163">
        <f t="shared" ref="C40:I40" si="14">C37-C38</f>
        <v>25253677.4641</v>
      </c>
      <c r="D40" s="163">
        <f t="shared" si="14"/>
        <v>24426927.928199999</v>
      </c>
      <c r="E40" s="163">
        <f t="shared" si="14"/>
        <v>23600178.392299999</v>
      </c>
      <c r="F40" s="163">
        <f t="shared" si="14"/>
        <v>22773428.856399998</v>
      </c>
      <c r="G40" s="163">
        <f t="shared" si="14"/>
        <v>21946679.320499998</v>
      </c>
      <c r="H40" s="163">
        <f t="shared" si="14"/>
        <v>21119929.784599997</v>
      </c>
      <c r="I40" s="163">
        <f t="shared" si="14"/>
        <v>20293180.248699997</v>
      </c>
      <c r="J40" s="95"/>
      <c r="K40" s="163">
        <f t="shared" ref="K40:Q40" si="15">K37-K38</f>
        <v>23472384.300000001</v>
      </c>
      <c r="L40" s="163">
        <f t="shared" si="15"/>
        <v>21125145.870000001</v>
      </c>
      <c r="M40" s="163">
        <f t="shared" si="15"/>
        <v>19012631.283</v>
      </c>
      <c r="N40" s="163">
        <f t="shared" si="15"/>
        <v>17111368.1547</v>
      </c>
      <c r="O40" s="163">
        <f t="shared" si="15"/>
        <v>15400231.339229999</v>
      </c>
      <c r="P40" s="163">
        <f t="shared" si="15"/>
        <v>13860208.205306999</v>
      </c>
      <c r="Q40" s="163">
        <f t="shared" si="15"/>
        <v>12474187.3847763</v>
      </c>
    </row>
    <row r="41" spans="1:17">
      <c r="A41" s="161"/>
      <c r="B41" s="161"/>
      <c r="C41" s="163"/>
      <c r="D41" s="163"/>
      <c r="E41" s="163"/>
      <c r="F41" s="163"/>
      <c r="G41" s="163"/>
      <c r="H41" s="163"/>
      <c r="I41" s="163"/>
      <c r="J41" s="95"/>
      <c r="K41" s="163"/>
      <c r="L41" s="163"/>
      <c r="M41" s="163"/>
      <c r="N41" s="163"/>
      <c r="O41" s="163"/>
      <c r="P41" s="163"/>
      <c r="Q41" s="163"/>
    </row>
    <row r="42" spans="1:17">
      <c r="A42" s="162" t="s">
        <v>200</v>
      </c>
      <c r="B42" s="162"/>
      <c r="C42" s="163"/>
      <c r="D42" s="163"/>
      <c r="E42" s="163"/>
      <c r="F42" s="163"/>
      <c r="G42" s="163"/>
      <c r="H42" s="163"/>
      <c r="I42" s="163"/>
      <c r="J42" s="95"/>
      <c r="K42" s="163"/>
      <c r="L42" s="163"/>
      <c r="M42" s="163"/>
      <c r="N42" s="163"/>
      <c r="O42" s="163"/>
      <c r="P42" s="163"/>
      <c r="Q42" s="163"/>
    </row>
    <row r="43" spans="1:17">
      <c r="A43" s="161" t="s">
        <v>196</v>
      </c>
      <c r="B43" s="161"/>
      <c r="C43" s="163">
        <f>'1.Project Cost and MOF'!D6</f>
        <v>3640360</v>
      </c>
      <c r="D43" s="163">
        <f t="shared" ref="D43:I43" si="16">C46</f>
        <v>3409925.2119999998</v>
      </c>
      <c r="E43" s="163">
        <f t="shared" si="16"/>
        <v>3179490.4239999996</v>
      </c>
      <c r="F43" s="163">
        <f t="shared" si="16"/>
        <v>2949055.6359999995</v>
      </c>
      <c r="G43" s="163">
        <f t="shared" si="16"/>
        <v>2718620.8479999993</v>
      </c>
      <c r="H43" s="163">
        <f t="shared" si="16"/>
        <v>2488186.0599999991</v>
      </c>
      <c r="I43" s="163">
        <f t="shared" si="16"/>
        <v>2257751.2719999989</v>
      </c>
      <c r="J43" s="95"/>
      <c r="K43" s="163">
        <f>C43</f>
        <v>3640360</v>
      </c>
      <c r="L43" s="163">
        <f t="shared" ref="L43:Q43" si="17">K46</f>
        <v>3094306</v>
      </c>
      <c r="M43" s="163">
        <f t="shared" si="17"/>
        <v>2630160.1</v>
      </c>
      <c r="N43" s="163">
        <f t="shared" si="17"/>
        <v>2235636.085</v>
      </c>
      <c r="O43" s="163">
        <f t="shared" si="17"/>
        <v>1900290.6722500001</v>
      </c>
      <c r="P43" s="163">
        <f t="shared" si="17"/>
        <v>1615247.0714125</v>
      </c>
      <c r="Q43" s="163">
        <f t="shared" si="17"/>
        <v>1372960.0107006249</v>
      </c>
    </row>
    <row r="44" spans="1:17">
      <c r="A44" s="161" t="s">
        <v>17</v>
      </c>
      <c r="B44" s="161"/>
      <c r="C44" s="163">
        <f t="shared" ref="C44:I44" si="18">$C$43*$B$78</f>
        <v>230434.78799999997</v>
      </c>
      <c r="D44" s="163">
        <f t="shared" si="18"/>
        <v>230434.78799999997</v>
      </c>
      <c r="E44" s="163">
        <f t="shared" si="18"/>
        <v>230434.78799999997</v>
      </c>
      <c r="F44" s="163">
        <f t="shared" si="18"/>
        <v>230434.78799999997</v>
      </c>
      <c r="G44" s="163">
        <f t="shared" si="18"/>
        <v>230434.78799999997</v>
      </c>
      <c r="H44" s="163">
        <f t="shared" si="18"/>
        <v>230434.78799999997</v>
      </c>
      <c r="I44" s="163">
        <f t="shared" si="18"/>
        <v>230434.78799999997</v>
      </c>
      <c r="J44" s="95"/>
      <c r="K44" s="163">
        <f t="shared" ref="K44:Q44" si="19">K43*$C$78</f>
        <v>546054</v>
      </c>
      <c r="L44" s="163">
        <f t="shared" si="19"/>
        <v>464145.89999999997</v>
      </c>
      <c r="M44" s="163">
        <f t="shared" si="19"/>
        <v>394524.01500000001</v>
      </c>
      <c r="N44" s="163">
        <f t="shared" si="19"/>
        <v>335345.41274999996</v>
      </c>
      <c r="O44" s="163">
        <f t="shared" si="19"/>
        <v>285043.60083750001</v>
      </c>
      <c r="P44" s="163">
        <f t="shared" si="19"/>
        <v>242287.06071187498</v>
      </c>
      <c r="Q44" s="163">
        <f t="shared" si="19"/>
        <v>205944.00160509374</v>
      </c>
    </row>
    <row r="45" spans="1:17">
      <c r="A45" s="161" t="s">
        <v>197</v>
      </c>
      <c r="B45" s="161"/>
      <c r="C45" s="163">
        <f>C44</f>
        <v>230434.78799999997</v>
      </c>
      <c r="D45" s="163">
        <f t="shared" ref="D45:I45" si="20">C45+D44</f>
        <v>460869.57599999994</v>
      </c>
      <c r="E45" s="163">
        <f t="shared" si="20"/>
        <v>691304.36399999994</v>
      </c>
      <c r="F45" s="163">
        <f t="shared" si="20"/>
        <v>921739.15199999989</v>
      </c>
      <c r="G45" s="163">
        <f t="shared" si="20"/>
        <v>1152173.94</v>
      </c>
      <c r="H45" s="163">
        <f t="shared" si="20"/>
        <v>1382608.7279999999</v>
      </c>
      <c r="I45" s="163">
        <f t="shared" si="20"/>
        <v>1613043.5159999998</v>
      </c>
      <c r="J45" s="95"/>
      <c r="K45" s="163">
        <f>K44</f>
        <v>546054</v>
      </c>
      <c r="L45" s="163">
        <f t="shared" ref="L45:Q45" si="21">K45+L44</f>
        <v>1010199.8999999999</v>
      </c>
      <c r="M45" s="163">
        <f t="shared" si="21"/>
        <v>1404723.915</v>
      </c>
      <c r="N45" s="163">
        <f t="shared" si="21"/>
        <v>1740069.3277499999</v>
      </c>
      <c r="O45" s="163">
        <f t="shared" si="21"/>
        <v>2025112.9285875</v>
      </c>
      <c r="P45" s="163">
        <f t="shared" si="21"/>
        <v>2267399.9892993751</v>
      </c>
      <c r="Q45" s="163">
        <f t="shared" si="21"/>
        <v>2473343.990904469</v>
      </c>
    </row>
    <row r="46" spans="1:17">
      <c r="A46" s="161" t="s">
        <v>198</v>
      </c>
      <c r="B46" s="161"/>
      <c r="C46" s="163">
        <f t="shared" ref="C46:I46" si="22">C43-C44</f>
        <v>3409925.2119999998</v>
      </c>
      <c r="D46" s="163">
        <f t="shared" si="22"/>
        <v>3179490.4239999996</v>
      </c>
      <c r="E46" s="163">
        <f t="shared" si="22"/>
        <v>2949055.6359999995</v>
      </c>
      <c r="F46" s="163">
        <f t="shared" si="22"/>
        <v>2718620.8479999993</v>
      </c>
      <c r="G46" s="163">
        <f t="shared" si="22"/>
        <v>2488186.0599999991</v>
      </c>
      <c r="H46" s="163">
        <f t="shared" si="22"/>
        <v>2257751.2719999989</v>
      </c>
      <c r="I46" s="163">
        <f t="shared" si="22"/>
        <v>2027316.483999999</v>
      </c>
      <c r="J46" s="95"/>
      <c r="K46" s="163">
        <f t="shared" ref="K46:Q46" si="23">K43-K44</f>
        <v>3094306</v>
      </c>
      <c r="L46" s="163">
        <f t="shared" si="23"/>
        <v>2630160.1</v>
      </c>
      <c r="M46" s="163">
        <f t="shared" si="23"/>
        <v>2235636.085</v>
      </c>
      <c r="N46" s="163">
        <f t="shared" si="23"/>
        <v>1900290.6722500001</v>
      </c>
      <c r="O46" s="163">
        <f t="shared" si="23"/>
        <v>1615247.0714125</v>
      </c>
      <c r="P46" s="163">
        <f t="shared" si="23"/>
        <v>1372960.0107006249</v>
      </c>
      <c r="Q46" s="163">
        <f t="shared" si="23"/>
        <v>1167016.0090955312</v>
      </c>
    </row>
    <row r="47" spans="1:17">
      <c r="A47" s="161"/>
      <c r="B47" s="161"/>
      <c r="C47" s="163"/>
      <c r="D47" s="163"/>
      <c r="E47" s="163"/>
      <c r="F47" s="163"/>
      <c r="G47" s="163"/>
      <c r="H47" s="163"/>
      <c r="I47" s="163"/>
      <c r="J47" s="95"/>
      <c r="K47" s="163"/>
      <c r="L47" s="163"/>
      <c r="M47" s="163"/>
      <c r="N47" s="163"/>
      <c r="O47" s="163"/>
      <c r="P47" s="163"/>
      <c r="Q47" s="163"/>
    </row>
    <row r="48" spans="1:17">
      <c r="A48" s="162" t="s">
        <v>201</v>
      </c>
      <c r="B48" s="162"/>
      <c r="C48" s="163"/>
      <c r="D48" s="163"/>
      <c r="E48" s="163"/>
      <c r="F48" s="163"/>
      <c r="G48" s="163"/>
      <c r="H48" s="163"/>
      <c r="I48" s="163"/>
      <c r="J48" s="95"/>
      <c r="K48" s="163"/>
      <c r="L48" s="163"/>
      <c r="M48" s="163"/>
      <c r="N48" s="163"/>
      <c r="O48" s="163"/>
      <c r="P48" s="163"/>
      <c r="Q48" s="163"/>
    </row>
    <row r="49" spans="1:17">
      <c r="A49" s="161" t="s">
        <v>196</v>
      </c>
      <c r="B49" s="161"/>
      <c r="C49" s="163">
        <f>'1.Project Cost and MOF'!D7</f>
        <v>0</v>
      </c>
      <c r="D49" s="163">
        <f t="shared" ref="D49:I49" si="24">C52</f>
        <v>0</v>
      </c>
      <c r="E49" s="163">
        <f t="shared" si="24"/>
        <v>0</v>
      </c>
      <c r="F49" s="163">
        <f t="shared" si="24"/>
        <v>0</v>
      </c>
      <c r="G49" s="163">
        <f t="shared" si="24"/>
        <v>0</v>
      </c>
      <c r="H49" s="163">
        <f t="shared" si="24"/>
        <v>0</v>
      </c>
      <c r="I49" s="163">
        <f t="shared" si="24"/>
        <v>0</v>
      </c>
      <c r="J49" s="95"/>
      <c r="K49" s="163">
        <f>C49</f>
        <v>0</v>
      </c>
      <c r="L49" s="163">
        <f t="shared" ref="L49:Q49" si="25">K52</f>
        <v>0</v>
      </c>
      <c r="M49" s="163">
        <f t="shared" si="25"/>
        <v>0</v>
      </c>
      <c r="N49" s="163">
        <f t="shared" si="25"/>
        <v>0</v>
      </c>
      <c r="O49" s="163">
        <f t="shared" si="25"/>
        <v>0</v>
      </c>
      <c r="P49" s="163">
        <f t="shared" si="25"/>
        <v>0</v>
      </c>
      <c r="Q49" s="163">
        <f t="shared" si="25"/>
        <v>0</v>
      </c>
    </row>
    <row r="50" spans="1:17">
      <c r="A50" s="161" t="s">
        <v>17</v>
      </c>
      <c r="B50" s="161"/>
      <c r="C50" s="163">
        <f t="shared" ref="C50:I50" si="26">$C$49*$B$75</f>
        <v>0</v>
      </c>
      <c r="D50" s="163">
        <f t="shared" si="26"/>
        <v>0</v>
      </c>
      <c r="E50" s="163">
        <f t="shared" si="26"/>
        <v>0</v>
      </c>
      <c r="F50" s="163">
        <f t="shared" si="26"/>
        <v>0</v>
      </c>
      <c r="G50" s="163">
        <f t="shared" si="26"/>
        <v>0</v>
      </c>
      <c r="H50" s="163">
        <f t="shared" si="26"/>
        <v>0</v>
      </c>
      <c r="I50" s="163">
        <f t="shared" si="26"/>
        <v>0</v>
      </c>
      <c r="J50" s="95"/>
      <c r="K50" s="163">
        <f t="shared" ref="K50:Q50" si="27">K49*$C$75</f>
        <v>0</v>
      </c>
      <c r="L50" s="163">
        <f t="shared" si="27"/>
        <v>0</v>
      </c>
      <c r="M50" s="163">
        <f t="shared" si="27"/>
        <v>0</v>
      </c>
      <c r="N50" s="163">
        <f t="shared" si="27"/>
        <v>0</v>
      </c>
      <c r="O50" s="163">
        <f t="shared" si="27"/>
        <v>0</v>
      </c>
      <c r="P50" s="163">
        <f t="shared" si="27"/>
        <v>0</v>
      </c>
      <c r="Q50" s="163">
        <f t="shared" si="27"/>
        <v>0</v>
      </c>
    </row>
    <row r="51" spans="1:17">
      <c r="A51" s="161" t="s">
        <v>197</v>
      </c>
      <c r="B51" s="161"/>
      <c r="C51" s="163">
        <f>C50</f>
        <v>0</v>
      </c>
      <c r="D51" s="163">
        <f t="shared" ref="D51:I51" si="28">C51+D50</f>
        <v>0</v>
      </c>
      <c r="E51" s="163">
        <f t="shared" si="28"/>
        <v>0</v>
      </c>
      <c r="F51" s="163">
        <f t="shared" si="28"/>
        <v>0</v>
      </c>
      <c r="G51" s="163">
        <f t="shared" si="28"/>
        <v>0</v>
      </c>
      <c r="H51" s="163">
        <f t="shared" si="28"/>
        <v>0</v>
      </c>
      <c r="I51" s="163">
        <f t="shared" si="28"/>
        <v>0</v>
      </c>
      <c r="J51" s="95"/>
      <c r="K51" s="163">
        <f>K50</f>
        <v>0</v>
      </c>
      <c r="L51" s="163">
        <f t="shared" ref="L51:Q51" si="29">K51+L50</f>
        <v>0</v>
      </c>
      <c r="M51" s="163">
        <f t="shared" si="29"/>
        <v>0</v>
      </c>
      <c r="N51" s="163">
        <f t="shared" si="29"/>
        <v>0</v>
      </c>
      <c r="O51" s="163">
        <f t="shared" si="29"/>
        <v>0</v>
      </c>
      <c r="P51" s="163">
        <f t="shared" si="29"/>
        <v>0</v>
      </c>
      <c r="Q51" s="163">
        <f t="shared" si="29"/>
        <v>0</v>
      </c>
    </row>
    <row r="52" spans="1:17">
      <c r="A52" s="161" t="s">
        <v>198</v>
      </c>
      <c r="B52" s="161"/>
      <c r="C52" s="163">
        <f t="shared" ref="C52:I52" si="30">C49-C50</f>
        <v>0</v>
      </c>
      <c r="D52" s="163">
        <f t="shared" si="30"/>
        <v>0</v>
      </c>
      <c r="E52" s="163">
        <f t="shared" si="30"/>
        <v>0</v>
      </c>
      <c r="F52" s="163">
        <f t="shared" si="30"/>
        <v>0</v>
      </c>
      <c r="G52" s="163">
        <f t="shared" si="30"/>
        <v>0</v>
      </c>
      <c r="H52" s="163">
        <f t="shared" si="30"/>
        <v>0</v>
      </c>
      <c r="I52" s="163">
        <f t="shared" si="30"/>
        <v>0</v>
      </c>
      <c r="J52" s="95"/>
      <c r="K52" s="163">
        <f t="shared" ref="K52:Q52" si="31">K49-K50</f>
        <v>0</v>
      </c>
      <c r="L52" s="163">
        <f t="shared" si="31"/>
        <v>0</v>
      </c>
      <c r="M52" s="163">
        <f t="shared" si="31"/>
        <v>0</v>
      </c>
      <c r="N52" s="163">
        <f t="shared" si="31"/>
        <v>0</v>
      </c>
      <c r="O52" s="163">
        <f t="shared" si="31"/>
        <v>0</v>
      </c>
      <c r="P52" s="163">
        <f t="shared" si="31"/>
        <v>0</v>
      </c>
      <c r="Q52" s="163">
        <f t="shared" si="31"/>
        <v>0</v>
      </c>
    </row>
    <row r="53" spans="1:17">
      <c r="A53" s="161"/>
      <c r="B53" s="161"/>
      <c r="C53" s="163"/>
      <c r="D53" s="163"/>
      <c r="E53" s="163"/>
      <c r="F53" s="163"/>
      <c r="G53" s="163"/>
      <c r="H53" s="163"/>
      <c r="I53" s="163"/>
      <c r="J53" s="95"/>
      <c r="K53" s="163"/>
      <c r="L53" s="163"/>
      <c r="M53" s="163"/>
      <c r="N53" s="163"/>
      <c r="O53" s="163"/>
      <c r="P53" s="163"/>
      <c r="Q53" s="163"/>
    </row>
    <row r="54" spans="1:17">
      <c r="A54" s="162" t="s">
        <v>159</v>
      </c>
      <c r="B54" s="162"/>
      <c r="C54" s="163"/>
      <c r="D54" s="163"/>
      <c r="E54" s="163"/>
      <c r="F54" s="163"/>
      <c r="G54" s="163"/>
      <c r="H54" s="163"/>
      <c r="I54" s="163"/>
      <c r="J54" s="95"/>
      <c r="K54" s="163"/>
      <c r="L54" s="163"/>
      <c r="M54" s="163"/>
      <c r="N54" s="163"/>
      <c r="O54" s="163"/>
      <c r="P54" s="163"/>
      <c r="Q54" s="163"/>
    </row>
    <row r="55" spans="1:17">
      <c r="A55" s="161" t="s">
        <v>196</v>
      </c>
      <c r="B55" s="161"/>
      <c r="C55" s="163">
        <f>'1.Project Cost and MOF'!D9</f>
        <v>0</v>
      </c>
      <c r="D55" s="163">
        <f t="shared" ref="D55:I55" si="32">C58</f>
        <v>0</v>
      </c>
      <c r="E55" s="163">
        <f t="shared" si="32"/>
        <v>0</v>
      </c>
      <c r="F55" s="163">
        <f t="shared" si="32"/>
        <v>0</v>
      </c>
      <c r="G55" s="163">
        <f t="shared" si="32"/>
        <v>0</v>
      </c>
      <c r="H55" s="163">
        <f t="shared" si="32"/>
        <v>0</v>
      </c>
      <c r="I55" s="163">
        <f t="shared" si="32"/>
        <v>0</v>
      </c>
      <c r="J55" s="95"/>
      <c r="K55" s="163">
        <f>C55</f>
        <v>0</v>
      </c>
      <c r="L55" s="163">
        <f t="shared" ref="L55:Q55" si="33">K58</f>
        <v>0</v>
      </c>
      <c r="M55" s="163">
        <f t="shared" si="33"/>
        <v>0</v>
      </c>
      <c r="N55" s="163">
        <f t="shared" si="33"/>
        <v>0</v>
      </c>
      <c r="O55" s="163">
        <f t="shared" si="33"/>
        <v>0</v>
      </c>
      <c r="P55" s="163">
        <f t="shared" si="33"/>
        <v>0</v>
      </c>
      <c r="Q55" s="163">
        <f t="shared" si="33"/>
        <v>0</v>
      </c>
    </row>
    <row r="56" spans="1:17">
      <c r="A56" s="161" t="s">
        <v>17</v>
      </c>
      <c r="B56" s="161"/>
      <c r="C56" s="163">
        <f t="shared" ref="C56:I56" si="34">$C$55*$B$77</f>
        <v>0</v>
      </c>
      <c r="D56" s="163">
        <f t="shared" si="34"/>
        <v>0</v>
      </c>
      <c r="E56" s="163">
        <f t="shared" si="34"/>
        <v>0</v>
      </c>
      <c r="F56" s="163">
        <f t="shared" si="34"/>
        <v>0</v>
      </c>
      <c r="G56" s="163">
        <f t="shared" si="34"/>
        <v>0</v>
      </c>
      <c r="H56" s="163">
        <f t="shared" si="34"/>
        <v>0</v>
      </c>
      <c r="I56" s="163">
        <f t="shared" si="34"/>
        <v>0</v>
      </c>
      <c r="J56" s="95"/>
      <c r="K56" s="163">
        <f t="shared" ref="K56:Q56" si="35">K55*$C$77</f>
        <v>0</v>
      </c>
      <c r="L56" s="163">
        <f t="shared" si="35"/>
        <v>0</v>
      </c>
      <c r="M56" s="163">
        <f t="shared" si="35"/>
        <v>0</v>
      </c>
      <c r="N56" s="163">
        <f t="shared" si="35"/>
        <v>0</v>
      </c>
      <c r="O56" s="163">
        <f t="shared" si="35"/>
        <v>0</v>
      </c>
      <c r="P56" s="163">
        <f t="shared" si="35"/>
        <v>0</v>
      </c>
      <c r="Q56" s="163">
        <f t="shared" si="35"/>
        <v>0</v>
      </c>
    </row>
    <row r="57" spans="1:17">
      <c r="A57" s="161" t="s">
        <v>197</v>
      </c>
      <c r="B57" s="161"/>
      <c r="C57" s="163">
        <f>C56</f>
        <v>0</v>
      </c>
      <c r="D57" s="163">
        <f t="shared" ref="D57:I57" si="36">C57+D56</f>
        <v>0</v>
      </c>
      <c r="E57" s="163">
        <f t="shared" si="36"/>
        <v>0</v>
      </c>
      <c r="F57" s="163">
        <f t="shared" si="36"/>
        <v>0</v>
      </c>
      <c r="G57" s="163">
        <f t="shared" si="36"/>
        <v>0</v>
      </c>
      <c r="H57" s="163">
        <f t="shared" si="36"/>
        <v>0</v>
      </c>
      <c r="I57" s="163">
        <f t="shared" si="36"/>
        <v>0</v>
      </c>
      <c r="J57" s="95"/>
      <c r="K57" s="163">
        <f>K56</f>
        <v>0</v>
      </c>
      <c r="L57" s="163">
        <f t="shared" ref="L57:Q57" si="37">K57+L56</f>
        <v>0</v>
      </c>
      <c r="M57" s="163">
        <f t="shared" si="37"/>
        <v>0</v>
      </c>
      <c r="N57" s="163">
        <f t="shared" si="37"/>
        <v>0</v>
      </c>
      <c r="O57" s="163">
        <f t="shared" si="37"/>
        <v>0</v>
      </c>
      <c r="P57" s="163">
        <f t="shared" si="37"/>
        <v>0</v>
      </c>
      <c r="Q57" s="163">
        <f t="shared" si="37"/>
        <v>0</v>
      </c>
    </row>
    <row r="58" spans="1:17">
      <c r="A58" s="161" t="s">
        <v>198</v>
      </c>
      <c r="B58" s="161"/>
      <c r="C58" s="163">
        <f t="shared" ref="C58:I58" si="38">C55-C56</f>
        <v>0</v>
      </c>
      <c r="D58" s="163">
        <f t="shared" si="38"/>
        <v>0</v>
      </c>
      <c r="E58" s="163">
        <f t="shared" si="38"/>
        <v>0</v>
      </c>
      <c r="F58" s="163">
        <f t="shared" si="38"/>
        <v>0</v>
      </c>
      <c r="G58" s="163">
        <f t="shared" si="38"/>
        <v>0</v>
      </c>
      <c r="H58" s="163">
        <f t="shared" si="38"/>
        <v>0</v>
      </c>
      <c r="I58" s="163">
        <f t="shared" si="38"/>
        <v>0</v>
      </c>
      <c r="J58" s="95"/>
      <c r="K58" s="163">
        <f t="shared" ref="K58:Q58" si="39">K55-K56</f>
        <v>0</v>
      </c>
      <c r="L58" s="163">
        <f t="shared" si="39"/>
        <v>0</v>
      </c>
      <c r="M58" s="163">
        <f t="shared" si="39"/>
        <v>0</v>
      </c>
      <c r="N58" s="163">
        <f t="shared" si="39"/>
        <v>0</v>
      </c>
      <c r="O58" s="163">
        <f t="shared" si="39"/>
        <v>0</v>
      </c>
      <c r="P58" s="163">
        <f t="shared" si="39"/>
        <v>0</v>
      </c>
      <c r="Q58" s="163">
        <f t="shared" si="39"/>
        <v>0</v>
      </c>
    </row>
    <row r="59" spans="1:17">
      <c r="A59" s="161"/>
      <c r="B59" s="161"/>
      <c r="C59" s="163"/>
      <c r="D59" s="163"/>
      <c r="E59" s="163"/>
      <c r="F59" s="163"/>
      <c r="G59" s="163"/>
      <c r="H59" s="163"/>
      <c r="I59" s="163"/>
      <c r="J59" s="95"/>
      <c r="K59" s="163"/>
      <c r="L59" s="163"/>
      <c r="M59" s="163"/>
      <c r="N59" s="163"/>
      <c r="O59" s="163"/>
      <c r="P59" s="163"/>
      <c r="Q59" s="163"/>
    </row>
    <row r="60" spans="1:17">
      <c r="A60" s="321" t="s">
        <v>324</v>
      </c>
      <c r="B60" s="161"/>
      <c r="C60" s="163"/>
      <c r="D60" s="163"/>
      <c r="E60" s="163"/>
      <c r="F60" s="163"/>
      <c r="G60" s="163"/>
      <c r="H60" s="163"/>
      <c r="I60" s="163"/>
      <c r="J60" s="95"/>
      <c r="K60" s="163"/>
      <c r="L60" s="163"/>
      <c r="M60" s="163"/>
      <c r="N60" s="163"/>
      <c r="O60" s="163"/>
      <c r="P60" s="163"/>
      <c r="Q60" s="163"/>
    </row>
    <row r="61" spans="1:17">
      <c r="A61" s="161" t="str">
        <f>A55</f>
        <v>Asset Value</v>
      </c>
      <c r="B61" s="161"/>
      <c r="C61" s="163">
        <f>'1.Project Cost and MOF'!D8</f>
        <v>0</v>
      </c>
      <c r="D61" s="163">
        <f t="shared" ref="D61:I61" si="40">C64</f>
        <v>0</v>
      </c>
      <c r="E61" s="163">
        <f t="shared" si="40"/>
        <v>0</v>
      </c>
      <c r="F61" s="163">
        <f t="shared" si="40"/>
        <v>0</v>
      </c>
      <c r="G61" s="163">
        <f t="shared" si="40"/>
        <v>0</v>
      </c>
      <c r="H61" s="163">
        <f t="shared" si="40"/>
        <v>0</v>
      </c>
      <c r="I61" s="163">
        <f t="shared" si="40"/>
        <v>0</v>
      </c>
      <c r="J61" s="95"/>
      <c r="K61" s="163">
        <f>C61</f>
        <v>0</v>
      </c>
      <c r="L61" s="163">
        <f t="shared" ref="L61:Q61" si="41">K64</f>
        <v>0</v>
      </c>
      <c r="M61" s="163">
        <f t="shared" si="41"/>
        <v>0</v>
      </c>
      <c r="N61" s="163">
        <f t="shared" si="41"/>
        <v>0</v>
      </c>
      <c r="O61" s="163">
        <f t="shared" si="41"/>
        <v>0</v>
      </c>
      <c r="P61" s="163">
        <f t="shared" si="41"/>
        <v>0</v>
      </c>
      <c r="Q61" s="163">
        <f t="shared" si="41"/>
        <v>0</v>
      </c>
    </row>
    <row r="62" spans="1:17">
      <c r="A62" s="161" t="str">
        <f>A56</f>
        <v>Depreciation</v>
      </c>
      <c r="B62" s="161"/>
      <c r="C62" s="163">
        <f t="shared" ref="C62:I62" si="42">$C$61*$B$76</f>
        <v>0</v>
      </c>
      <c r="D62" s="163">
        <f t="shared" si="42"/>
        <v>0</v>
      </c>
      <c r="E62" s="163">
        <f t="shared" si="42"/>
        <v>0</v>
      </c>
      <c r="F62" s="163">
        <f t="shared" si="42"/>
        <v>0</v>
      </c>
      <c r="G62" s="163">
        <f t="shared" si="42"/>
        <v>0</v>
      </c>
      <c r="H62" s="163">
        <f t="shared" si="42"/>
        <v>0</v>
      </c>
      <c r="I62" s="163">
        <f t="shared" si="42"/>
        <v>0</v>
      </c>
      <c r="J62" s="95"/>
      <c r="K62" s="163">
        <f t="shared" ref="K62:Q62" si="43">K61*$C$76</f>
        <v>0</v>
      </c>
      <c r="L62" s="163">
        <f t="shared" si="43"/>
        <v>0</v>
      </c>
      <c r="M62" s="163">
        <f t="shared" si="43"/>
        <v>0</v>
      </c>
      <c r="N62" s="163">
        <f t="shared" si="43"/>
        <v>0</v>
      </c>
      <c r="O62" s="163">
        <f t="shared" si="43"/>
        <v>0</v>
      </c>
      <c r="P62" s="163">
        <f t="shared" si="43"/>
        <v>0</v>
      </c>
      <c r="Q62" s="163">
        <f t="shared" si="43"/>
        <v>0</v>
      </c>
    </row>
    <row r="63" spans="1:17">
      <c r="A63" s="161" t="str">
        <f>A57</f>
        <v>Accumulated Depreciation</v>
      </c>
      <c r="B63" s="161"/>
      <c r="C63" s="163">
        <f>C62</f>
        <v>0</v>
      </c>
      <c r="D63" s="163">
        <f t="shared" ref="D63:I63" si="44">D62+C63</f>
        <v>0</v>
      </c>
      <c r="E63" s="163">
        <f t="shared" si="44"/>
        <v>0</v>
      </c>
      <c r="F63" s="163">
        <f t="shared" si="44"/>
        <v>0</v>
      </c>
      <c r="G63" s="163">
        <f t="shared" si="44"/>
        <v>0</v>
      </c>
      <c r="H63" s="163">
        <f t="shared" si="44"/>
        <v>0</v>
      </c>
      <c r="I63" s="163">
        <f t="shared" si="44"/>
        <v>0</v>
      </c>
      <c r="J63" s="95"/>
      <c r="K63" s="163">
        <f>K62</f>
        <v>0</v>
      </c>
      <c r="L63" s="163">
        <f t="shared" ref="L63:Q63" si="45">L62+K63</f>
        <v>0</v>
      </c>
      <c r="M63" s="163">
        <f t="shared" si="45"/>
        <v>0</v>
      </c>
      <c r="N63" s="163">
        <f t="shared" si="45"/>
        <v>0</v>
      </c>
      <c r="O63" s="163">
        <f t="shared" si="45"/>
        <v>0</v>
      </c>
      <c r="P63" s="163">
        <f t="shared" si="45"/>
        <v>0</v>
      </c>
      <c r="Q63" s="163">
        <f t="shared" si="45"/>
        <v>0</v>
      </c>
    </row>
    <row r="64" spans="1:17">
      <c r="A64" s="161" t="str">
        <f>A58</f>
        <v>Net Fixed Assets</v>
      </c>
      <c r="B64" s="161"/>
      <c r="C64" s="163">
        <f t="shared" ref="C64:I64" si="46">C61-C62</f>
        <v>0</v>
      </c>
      <c r="D64" s="163">
        <f t="shared" si="46"/>
        <v>0</v>
      </c>
      <c r="E64" s="163">
        <f t="shared" si="46"/>
        <v>0</v>
      </c>
      <c r="F64" s="163">
        <f t="shared" si="46"/>
        <v>0</v>
      </c>
      <c r="G64" s="163">
        <f t="shared" si="46"/>
        <v>0</v>
      </c>
      <c r="H64" s="163">
        <f t="shared" si="46"/>
        <v>0</v>
      </c>
      <c r="I64" s="163">
        <f t="shared" si="46"/>
        <v>0</v>
      </c>
      <c r="J64" s="95"/>
      <c r="K64" s="163">
        <f t="shared" ref="K64:Q64" si="47">K61-K62</f>
        <v>0</v>
      </c>
      <c r="L64" s="163">
        <f t="shared" si="47"/>
        <v>0</v>
      </c>
      <c r="M64" s="163">
        <f t="shared" si="47"/>
        <v>0</v>
      </c>
      <c r="N64" s="163">
        <f t="shared" si="47"/>
        <v>0</v>
      </c>
      <c r="O64" s="163">
        <f t="shared" si="47"/>
        <v>0</v>
      </c>
      <c r="P64" s="163">
        <f t="shared" si="47"/>
        <v>0</v>
      </c>
      <c r="Q64" s="163">
        <f t="shared" si="47"/>
        <v>0</v>
      </c>
    </row>
    <row r="65" spans="1:17">
      <c r="A65" s="162" t="s">
        <v>202</v>
      </c>
      <c r="B65" s="162"/>
      <c r="C65" s="164">
        <f t="shared" ref="C65:I68" si="48">C49+C43+C37+C55+C61</f>
        <v>29720787</v>
      </c>
      <c r="D65" s="164">
        <f t="shared" si="48"/>
        <v>28663602.676100001</v>
      </c>
      <c r="E65" s="164">
        <f t="shared" si="48"/>
        <v>27606418.352199998</v>
      </c>
      <c r="F65" s="164">
        <f t="shared" si="48"/>
        <v>26549234.028299998</v>
      </c>
      <c r="G65" s="164">
        <f t="shared" si="48"/>
        <v>25492049.704399996</v>
      </c>
      <c r="H65" s="164">
        <f t="shared" si="48"/>
        <v>24434865.380499996</v>
      </c>
      <c r="I65" s="164">
        <f t="shared" si="48"/>
        <v>23377681.056599997</v>
      </c>
      <c r="J65" s="95"/>
      <c r="K65" s="164">
        <f t="shared" ref="K65:Q68" si="49">K49+K43+K37+K55+K61</f>
        <v>29720787</v>
      </c>
      <c r="L65" s="164">
        <f t="shared" si="49"/>
        <v>26566690.300000001</v>
      </c>
      <c r="M65" s="164">
        <f t="shared" si="49"/>
        <v>23755305.970000003</v>
      </c>
      <c r="N65" s="164">
        <f t="shared" si="49"/>
        <v>21248267.368000001</v>
      </c>
      <c r="O65" s="164">
        <f t="shared" si="49"/>
        <v>19011658.826949999</v>
      </c>
      <c r="P65" s="164">
        <f t="shared" si="49"/>
        <v>17015478.410642497</v>
      </c>
      <c r="Q65" s="164">
        <f t="shared" si="49"/>
        <v>15233168.216007624</v>
      </c>
    </row>
    <row r="66" spans="1:17">
      <c r="A66" s="162" t="s">
        <v>203</v>
      </c>
      <c r="B66" s="162"/>
      <c r="C66" s="164">
        <f t="shared" si="48"/>
        <v>1057184.3239</v>
      </c>
      <c r="D66" s="164">
        <f t="shared" si="48"/>
        <v>1057184.3239</v>
      </c>
      <c r="E66" s="164">
        <f t="shared" si="48"/>
        <v>1057184.3239</v>
      </c>
      <c r="F66" s="164">
        <f t="shared" si="48"/>
        <v>1057184.3239</v>
      </c>
      <c r="G66" s="164">
        <f t="shared" si="48"/>
        <v>1057184.3239</v>
      </c>
      <c r="H66" s="164">
        <f t="shared" si="48"/>
        <v>1057184.3239</v>
      </c>
      <c r="I66" s="164">
        <f t="shared" si="48"/>
        <v>1057184.3239</v>
      </c>
      <c r="J66" s="95"/>
      <c r="K66" s="164">
        <f t="shared" si="49"/>
        <v>3154096.7</v>
      </c>
      <c r="L66" s="164">
        <f t="shared" si="49"/>
        <v>2811384.33</v>
      </c>
      <c r="M66" s="164">
        <f t="shared" si="49"/>
        <v>2507038.6020000004</v>
      </c>
      <c r="N66" s="164">
        <f t="shared" si="49"/>
        <v>2236608.5410500001</v>
      </c>
      <c r="O66" s="164">
        <f t="shared" si="49"/>
        <v>1996180.4163075001</v>
      </c>
      <c r="P66" s="164">
        <f t="shared" si="49"/>
        <v>1782310.1946348748</v>
      </c>
      <c r="Q66" s="164">
        <f t="shared" si="49"/>
        <v>1591964.8221357937</v>
      </c>
    </row>
    <row r="67" spans="1:17">
      <c r="A67" s="162" t="s">
        <v>204</v>
      </c>
      <c r="B67" s="162"/>
      <c r="C67" s="164">
        <f t="shared" si="48"/>
        <v>1057184.3239</v>
      </c>
      <c r="D67" s="164">
        <f t="shared" si="48"/>
        <v>2114368.6477999999</v>
      </c>
      <c r="E67" s="164">
        <f t="shared" si="48"/>
        <v>3171552.9717000001</v>
      </c>
      <c r="F67" s="164">
        <f t="shared" si="48"/>
        <v>4228737.2955999998</v>
      </c>
      <c r="G67" s="164">
        <f t="shared" si="48"/>
        <v>5285921.6195</v>
      </c>
      <c r="H67" s="164">
        <f t="shared" si="48"/>
        <v>6343105.9434000002</v>
      </c>
      <c r="I67" s="164">
        <f t="shared" si="48"/>
        <v>7400290.2672999995</v>
      </c>
      <c r="J67" s="95"/>
      <c r="K67" s="164">
        <f t="shared" si="49"/>
        <v>3154096.7</v>
      </c>
      <c r="L67" s="164">
        <f t="shared" si="49"/>
        <v>5965481.0300000012</v>
      </c>
      <c r="M67" s="164">
        <f t="shared" si="49"/>
        <v>8472519.6320000011</v>
      </c>
      <c r="N67" s="164">
        <f t="shared" si="49"/>
        <v>10709128.173049999</v>
      </c>
      <c r="O67" s="164">
        <f t="shared" si="49"/>
        <v>12705308.589357501</v>
      </c>
      <c r="P67" s="164">
        <f t="shared" si="49"/>
        <v>14487618.783992376</v>
      </c>
      <c r="Q67" s="164">
        <f t="shared" si="49"/>
        <v>16079583.606128169</v>
      </c>
    </row>
    <row r="68" spans="1:17">
      <c r="A68" s="162" t="s">
        <v>198</v>
      </c>
      <c r="B68" s="162"/>
      <c r="C68" s="164">
        <f t="shared" si="48"/>
        <v>28663602.676100001</v>
      </c>
      <c r="D68" s="164">
        <f t="shared" si="48"/>
        <v>27606418.352199998</v>
      </c>
      <c r="E68" s="164">
        <f t="shared" si="48"/>
        <v>26549234.028299998</v>
      </c>
      <c r="F68" s="164">
        <f t="shared" si="48"/>
        <v>25492049.704399996</v>
      </c>
      <c r="G68" s="164">
        <f t="shared" si="48"/>
        <v>24434865.380499996</v>
      </c>
      <c r="H68" s="164">
        <f t="shared" si="48"/>
        <v>23377681.056599997</v>
      </c>
      <c r="I68" s="164">
        <f t="shared" si="48"/>
        <v>22320496.732699994</v>
      </c>
      <c r="J68" s="95"/>
      <c r="K68" s="164">
        <f t="shared" si="49"/>
        <v>26566690.300000001</v>
      </c>
      <c r="L68" s="164">
        <f t="shared" si="49"/>
        <v>23755305.970000003</v>
      </c>
      <c r="M68" s="164">
        <f t="shared" si="49"/>
        <v>21248267.368000001</v>
      </c>
      <c r="N68" s="164">
        <f t="shared" si="49"/>
        <v>19011658.826949999</v>
      </c>
      <c r="O68" s="164">
        <f t="shared" si="49"/>
        <v>17015478.410642497</v>
      </c>
      <c r="P68" s="164">
        <f t="shared" si="49"/>
        <v>15233168.216007624</v>
      </c>
      <c r="Q68" s="164">
        <f t="shared" si="49"/>
        <v>13641203.393871831</v>
      </c>
    </row>
    <row r="69" spans="1:17">
      <c r="A69" s="167"/>
      <c r="B69" s="167"/>
      <c r="C69" s="168"/>
      <c r="D69" s="168"/>
      <c r="E69" s="168"/>
      <c r="F69" s="168"/>
      <c r="G69" s="168"/>
      <c r="H69" s="168"/>
      <c r="I69" s="168"/>
      <c r="J69" s="90"/>
    </row>
    <row r="70" spans="1:17">
      <c r="A70" s="90"/>
      <c r="B70" s="90"/>
      <c r="C70" s="90"/>
      <c r="D70" s="90"/>
      <c r="E70" s="90"/>
      <c r="F70" s="90"/>
      <c r="G70" s="90"/>
      <c r="H70" s="90"/>
      <c r="I70" s="90"/>
      <c r="J70" s="90"/>
    </row>
    <row r="71" spans="1:17" ht="42.5">
      <c r="A71" s="169" t="s">
        <v>205</v>
      </c>
      <c r="B71" s="172" t="s">
        <v>682</v>
      </c>
      <c r="C71" s="172" t="s">
        <v>683</v>
      </c>
      <c r="D71" s="90"/>
      <c r="E71" s="90"/>
      <c r="F71" s="90"/>
      <c r="G71" s="90"/>
      <c r="H71" s="90"/>
      <c r="I71" s="90"/>
      <c r="J71" s="90"/>
    </row>
    <row r="72" spans="1:17" ht="28.5">
      <c r="A72" s="172" t="s">
        <v>206</v>
      </c>
      <c r="B72" s="170" t="s">
        <v>207</v>
      </c>
      <c r="C72" s="171" t="s">
        <v>208</v>
      </c>
      <c r="D72" s="90"/>
      <c r="E72" s="90"/>
      <c r="F72" s="90"/>
      <c r="G72" s="90"/>
      <c r="H72" s="90"/>
      <c r="I72" s="90"/>
      <c r="J72" s="90"/>
    </row>
    <row r="73" spans="1:17">
      <c r="A73" s="172" t="s">
        <v>149</v>
      </c>
      <c r="B73" s="368">
        <v>0</v>
      </c>
      <c r="C73" s="173">
        <v>0</v>
      </c>
      <c r="D73" s="90"/>
      <c r="E73" s="90"/>
      <c r="F73" s="90"/>
      <c r="G73" s="90"/>
      <c r="H73" s="90"/>
      <c r="I73" s="90"/>
      <c r="J73" s="90"/>
    </row>
    <row r="74" spans="1:17">
      <c r="A74" s="174" t="s">
        <v>199</v>
      </c>
      <c r="B74" s="368">
        <v>3.1699999999999999E-2</v>
      </c>
      <c r="C74" s="173">
        <v>0.1</v>
      </c>
      <c r="D74" s="175"/>
      <c r="E74" s="90"/>
      <c r="F74" s="90"/>
      <c r="G74" s="90"/>
      <c r="H74" s="90"/>
      <c r="I74" s="90"/>
      <c r="J74" s="90"/>
    </row>
    <row r="75" spans="1:17">
      <c r="A75" s="174" t="s">
        <v>201</v>
      </c>
      <c r="B75" s="369">
        <v>0.1</v>
      </c>
      <c r="C75" s="173">
        <v>0.1</v>
      </c>
      <c r="D75" s="90"/>
      <c r="E75" s="90"/>
      <c r="F75" s="90"/>
      <c r="G75" s="90"/>
      <c r="H75" s="90"/>
      <c r="I75" s="90"/>
      <c r="J75" s="90"/>
    </row>
    <row r="76" spans="1:17">
      <c r="A76" s="90" t="s">
        <v>209</v>
      </c>
      <c r="B76" s="369">
        <v>0.1</v>
      </c>
      <c r="C76" s="176">
        <v>0.4</v>
      </c>
      <c r="D76" s="90"/>
      <c r="E76" s="90"/>
      <c r="F76" s="90"/>
      <c r="G76" s="90"/>
      <c r="H76" s="90"/>
      <c r="I76" s="90"/>
      <c r="J76" s="90"/>
    </row>
    <row r="77" spans="1:17">
      <c r="A77" s="90" t="s">
        <v>274</v>
      </c>
      <c r="B77" s="369">
        <v>0.1188</v>
      </c>
      <c r="C77" s="176">
        <v>0.15</v>
      </c>
      <c r="D77" s="90"/>
      <c r="E77" s="90"/>
      <c r="F77" s="90"/>
      <c r="G77" s="90"/>
      <c r="H77" s="90"/>
      <c r="I77" s="90"/>
      <c r="J77" s="90"/>
    </row>
    <row r="78" spans="1:17">
      <c r="A78" s="174" t="s">
        <v>210</v>
      </c>
      <c r="B78" s="369">
        <v>6.3299999999999995E-2</v>
      </c>
      <c r="C78" s="176">
        <v>0.15</v>
      </c>
      <c r="D78" s="90"/>
      <c r="E78" s="90"/>
      <c r="F78" s="90"/>
      <c r="G78" s="90"/>
      <c r="H78" s="90"/>
      <c r="I78" s="90"/>
      <c r="J78" s="90"/>
    </row>
    <row r="79" spans="1:17" ht="28.5">
      <c r="A79" s="172" t="s">
        <v>205</v>
      </c>
      <c r="B79" s="173"/>
      <c r="C79" s="177"/>
      <c r="D79" s="90"/>
      <c r="E79" s="90"/>
      <c r="F79" s="90"/>
      <c r="G79" s="90"/>
      <c r="H79" s="90"/>
      <c r="I79" s="90"/>
      <c r="J79" s="90"/>
    </row>
    <row r="80" spans="1:17" ht="28.5">
      <c r="A80" s="174" t="s">
        <v>211</v>
      </c>
      <c r="B80" s="177">
        <v>0.2</v>
      </c>
      <c r="C80" s="178">
        <v>0.2</v>
      </c>
      <c r="D80" s="90"/>
      <c r="E80" s="90"/>
      <c r="F80" s="90"/>
      <c r="G80" s="90"/>
      <c r="H80" s="90"/>
      <c r="I80" s="90"/>
      <c r="J80" s="90"/>
    </row>
    <row r="81" spans="1:12">
      <c r="A81" s="90"/>
      <c r="B81" s="90"/>
      <c r="C81" s="90"/>
      <c r="D81" s="90"/>
      <c r="E81" s="90"/>
      <c r="F81" s="90"/>
      <c r="G81" s="90"/>
      <c r="H81" s="90"/>
      <c r="I81" s="90"/>
      <c r="J81" s="90"/>
    </row>
    <row r="82" spans="1:12">
      <c r="A82" s="90"/>
      <c r="B82" s="90"/>
      <c r="C82" s="90"/>
      <c r="D82" s="90"/>
      <c r="E82" s="179"/>
      <c r="F82" s="90"/>
      <c r="G82" s="90"/>
      <c r="H82" s="90"/>
      <c r="I82" s="90"/>
      <c r="J82" s="90"/>
    </row>
    <row r="83" spans="1:12" s="64" customFormat="1" ht="17.5">
      <c r="A83" s="473" t="s">
        <v>551</v>
      </c>
      <c r="B83" s="473"/>
      <c r="C83" s="473"/>
      <c r="D83" s="473"/>
      <c r="E83" s="473"/>
      <c r="F83" s="473"/>
      <c r="G83" s="473"/>
      <c r="H83" s="473"/>
      <c r="I83" s="473"/>
      <c r="J83" s="473"/>
    </row>
    <row r="84" spans="1:12" s="64" customFormat="1">
      <c r="A84" s="35"/>
      <c r="B84" s="35"/>
    </row>
    <row r="85" spans="1:12" s="64" customFormat="1">
      <c r="A85" s="149" t="s">
        <v>0</v>
      </c>
      <c r="B85" s="150" t="s">
        <v>334</v>
      </c>
      <c r="C85" s="151" t="s">
        <v>2</v>
      </c>
      <c r="D85" s="151" t="s">
        <v>3</v>
      </c>
      <c r="E85" s="151" t="s">
        <v>4</v>
      </c>
      <c r="F85" s="151" t="s">
        <v>5</v>
      </c>
      <c r="G85" s="151" t="s">
        <v>6</v>
      </c>
      <c r="H85" s="151" t="s">
        <v>169</v>
      </c>
      <c r="I85" s="151" t="s">
        <v>168</v>
      </c>
      <c r="J85" s="38"/>
      <c r="K85" s="38"/>
      <c r="L85" s="38"/>
    </row>
    <row r="86" spans="1:12" s="64" customFormat="1">
      <c r="A86" s="152" t="s">
        <v>252</v>
      </c>
      <c r="B86" s="153">
        <v>5</v>
      </c>
      <c r="C86" s="154">
        <f>'1.Project Cost and MOF'!$D$10/5</f>
        <v>24000</v>
      </c>
      <c r="D86" s="154">
        <f>'1.Project Cost and MOF'!$D$10/5</f>
        <v>24000</v>
      </c>
      <c r="E86" s="154">
        <f>'1.Project Cost and MOF'!$D$10/5</f>
        <v>24000</v>
      </c>
      <c r="F86" s="154">
        <f>'1.Project Cost and MOF'!$D$10/5</f>
        <v>24000</v>
      </c>
      <c r="G86" s="154">
        <f>'1.Project Cost and MOF'!$D$10/5</f>
        <v>24000</v>
      </c>
      <c r="H86" s="154">
        <v>0</v>
      </c>
      <c r="I86" s="154">
        <v>0</v>
      </c>
      <c r="J86" s="38"/>
      <c r="K86" s="38"/>
      <c r="L86" s="38"/>
    </row>
    <row r="87" spans="1:12" s="64" customFormat="1">
      <c r="A87" s="155" t="s">
        <v>335</v>
      </c>
      <c r="B87" s="156"/>
      <c r="C87" s="157">
        <f t="shared" ref="C87:I87" si="50">SUM(C85:C86)</f>
        <v>24000</v>
      </c>
      <c r="D87" s="157">
        <f t="shared" si="50"/>
        <v>24000</v>
      </c>
      <c r="E87" s="157">
        <f t="shared" si="50"/>
        <v>24000</v>
      </c>
      <c r="F87" s="157">
        <f t="shared" si="50"/>
        <v>24000</v>
      </c>
      <c r="G87" s="157">
        <f t="shared" si="50"/>
        <v>24000</v>
      </c>
      <c r="H87" s="157">
        <f t="shared" si="50"/>
        <v>0</v>
      </c>
      <c r="I87" s="157">
        <f t="shared" si="50"/>
        <v>0</v>
      </c>
      <c r="J87" s="65"/>
      <c r="K87" s="65"/>
      <c r="L87" s="65"/>
    </row>
    <row r="88" spans="1:12" s="64"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7.5">
      <c r="A92" s="487" t="s">
        <v>552</v>
      </c>
      <c r="B92" s="487"/>
      <c r="C92" s="487"/>
      <c r="D92" s="487"/>
      <c r="E92" s="487"/>
      <c r="F92" s="487"/>
      <c r="G92" s="487"/>
      <c r="H92" s="487"/>
      <c r="I92" s="146"/>
      <c r="J92" s="146"/>
      <c r="K92" s="146"/>
    </row>
    <row r="93" spans="1:12">
      <c r="A93" s="35"/>
      <c r="B93" s="34"/>
      <c r="C93" s="34"/>
      <c r="D93" s="34"/>
      <c r="E93" s="34"/>
      <c r="F93" s="34"/>
      <c r="G93" s="34"/>
      <c r="H93" s="34"/>
      <c r="I93" s="34"/>
      <c r="J93" s="34"/>
      <c r="K93" s="34"/>
    </row>
    <row r="94" spans="1:12">
      <c r="A94" s="144" t="s">
        <v>0</v>
      </c>
      <c r="B94" s="116" t="s">
        <v>2</v>
      </c>
      <c r="C94" s="116" t="s">
        <v>3</v>
      </c>
      <c r="D94" s="116" t="s">
        <v>4</v>
      </c>
      <c r="E94" s="116" t="s">
        <v>5</v>
      </c>
      <c r="F94" s="116" t="s">
        <v>6</v>
      </c>
      <c r="G94" s="116" t="s">
        <v>169</v>
      </c>
      <c r="H94" s="116" t="s">
        <v>168</v>
      </c>
      <c r="I94" s="28"/>
      <c r="J94" s="28"/>
      <c r="K94" s="28"/>
    </row>
    <row r="95" spans="1:12">
      <c r="A95" s="85" t="s">
        <v>224</v>
      </c>
      <c r="B95" s="147">
        <f>'6.Cons Profit &amp; Loss'!B49</f>
        <v>2951881.623531865</v>
      </c>
      <c r="C95" s="147">
        <f>'6.Cons Profit &amp; Loss'!C49</f>
        <v>4251609.3962308653</v>
      </c>
      <c r="D95" s="147">
        <f>'6.Cons Profit &amp; Loss'!D49</f>
        <v>5684829.2900281465</v>
      </c>
      <c r="E95" s="147">
        <f>'6.Cons Profit &amp; Loss'!E49</f>
        <v>7252166.9044529805</v>
      </c>
      <c r="F95" s="147">
        <f>'6.Cons Profit &amp; Loss'!F49</f>
        <v>8964930.4167482704</v>
      </c>
      <c r="G95" s="147">
        <f>'6.Cons Profit &amp; Loss'!G49</f>
        <v>10513736.328261303</v>
      </c>
      <c r="H95" s="147">
        <f>'6.Cons Profit &amp; Loss'!H49</f>
        <v>11959558.740436003</v>
      </c>
      <c r="I95" s="37"/>
      <c r="J95" s="37"/>
      <c r="K95" s="37"/>
    </row>
    <row r="96" spans="1:12">
      <c r="A96" s="85" t="s">
        <v>225</v>
      </c>
      <c r="B96" s="147">
        <f>'6.Cons Profit &amp; Loss'!B42</f>
        <v>1057184.3239</v>
      </c>
      <c r="C96" s="147">
        <f>'6.Cons Profit &amp; Loss'!C42</f>
        <v>1057184.3239</v>
      </c>
      <c r="D96" s="147">
        <f>'6.Cons Profit &amp; Loss'!D42</f>
        <v>1057184.3239</v>
      </c>
      <c r="E96" s="147">
        <f>'6.Cons Profit &amp; Loss'!E42</f>
        <v>1057184.3239</v>
      </c>
      <c r="F96" s="147">
        <f>'6.Cons Profit &amp; Loss'!F42</f>
        <v>1057184.3239</v>
      </c>
      <c r="G96" s="147">
        <f>'6.Cons Profit &amp; Loss'!G42</f>
        <v>1057184.3239</v>
      </c>
      <c r="H96" s="147">
        <f>'6.Cons Profit &amp; Loss'!H42</f>
        <v>1057184.3239</v>
      </c>
      <c r="I96" s="37"/>
      <c r="J96" s="37"/>
      <c r="K96" s="37"/>
    </row>
    <row r="97" spans="1:11">
      <c r="A97" s="85" t="s">
        <v>226</v>
      </c>
      <c r="B97" s="147">
        <f>'3.Other Exp &amp; Taxes'!K66</f>
        <v>3154096.7</v>
      </c>
      <c r="C97" s="147">
        <f>'3.Other Exp &amp; Taxes'!L66</f>
        <v>2811384.33</v>
      </c>
      <c r="D97" s="147">
        <f>'3.Other Exp &amp; Taxes'!M66</f>
        <v>2507038.6020000004</v>
      </c>
      <c r="E97" s="147">
        <f>'3.Other Exp &amp; Taxes'!N66</f>
        <v>2236608.5410500001</v>
      </c>
      <c r="F97" s="147">
        <f>'3.Other Exp &amp; Taxes'!O66</f>
        <v>1996180.4163075001</v>
      </c>
      <c r="G97" s="147">
        <f>'3.Other Exp &amp; Taxes'!P66</f>
        <v>1782310.1946348748</v>
      </c>
      <c r="H97" s="147">
        <f>'3.Other Exp &amp; Taxes'!Q66</f>
        <v>1591964.8221357937</v>
      </c>
      <c r="I97" s="37"/>
      <c r="J97" s="37"/>
      <c r="K97" s="37"/>
    </row>
    <row r="98" spans="1:11">
      <c r="A98" s="85" t="s">
        <v>287</v>
      </c>
      <c r="B98" s="147">
        <f t="shared" ref="B98:H98" si="51">B95+B96-B97</f>
        <v>854969.24743186496</v>
      </c>
      <c r="C98" s="147">
        <f t="shared" si="51"/>
        <v>2497409.3901308654</v>
      </c>
      <c r="D98" s="147">
        <f t="shared" si="51"/>
        <v>4234975.0119281467</v>
      </c>
      <c r="E98" s="147">
        <f t="shared" si="51"/>
        <v>6072742.6873029806</v>
      </c>
      <c r="F98" s="147">
        <f t="shared" si="51"/>
        <v>8025934.32434077</v>
      </c>
      <c r="G98" s="147">
        <f t="shared" si="51"/>
        <v>9788610.4575264268</v>
      </c>
      <c r="H98" s="147">
        <f t="shared" si="51"/>
        <v>11424778.242200209</v>
      </c>
      <c r="I98" s="37"/>
      <c r="J98" s="37"/>
      <c r="K98" s="37"/>
    </row>
    <row r="99" spans="1:11">
      <c r="A99" s="87" t="s">
        <v>227</v>
      </c>
      <c r="B99" s="148">
        <f>IF(B98&gt;0,B98*$B$102,"0")</f>
        <v>222292.00433228491</v>
      </c>
      <c r="C99" s="148">
        <f>IF(C98&gt;0,C98*$B$102,"0")</f>
        <v>649326.44143402507</v>
      </c>
      <c r="D99" s="148">
        <f t="shared" ref="D99:H99" si="52">IF(D98&gt;0,D98*$B$102,"0")</f>
        <v>1101093.5031013181</v>
      </c>
      <c r="E99" s="148">
        <f t="shared" si="52"/>
        <v>1578913.0986987751</v>
      </c>
      <c r="F99" s="148">
        <f t="shared" si="52"/>
        <v>2086742.9243286003</v>
      </c>
      <c r="G99" s="148">
        <f t="shared" si="52"/>
        <v>2545038.718956871</v>
      </c>
      <c r="H99" s="148">
        <f t="shared" si="52"/>
        <v>2970442.3429720546</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383</v>
      </c>
      <c r="B102" s="269">
        <v>0.26</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5" customHeight="1">
      <c r="A104" s="488" t="s">
        <v>414</v>
      </c>
      <c r="B104" s="488"/>
      <c r="C104" s="488"/>
      <c r="D104" s="488"/>
      <c r="E104" s="488"/>
      <c r="F104" s="488"/>
      <c r="G104" s="488"/>
      <c r="H104" s="488"/>
      <c r="I104" s="32"/>
      <c r="J104" s="32"/>
      <c r="K104" s="32"/>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36" orientation="portrait" r:id="rId1"/>
  <rowBreaks count="1" manualBreakCount="1">
    <brk id="81"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ECE4C-050F-4D91-8B6A-45C47C7AE725}">
  <dimension ref="B58:M79"/>
  <sheetViews>
    <sheetView topLeftCell="A58" workbookViewId="0">
      <selection activeCell="B61" sqref="B61:E61"/>
    </sheetView>
  </sheetViews>
  <sheetFormatPr defaultRowHeight="14.5"/>
  <cols>
    <col min="3" max="3" width="43.81640625" bestFit="1" customWidth="1"/>
    <col min="5" max="6" width="14.08984375" bestFit="1" customWidth="1"/>
    <col min="7" max="7" width="11.453125" bestFit="1" customWidth="1"/>
    <col min="11" max="11" width="6.90625" bestFit="1" customWidth="1"/>
    <col min="12" max="12" width="50.54296875" bestFit="1" customWidth="1"/>
    <col min="13" max="13" width="29.81640625" bestFit="1" customWidth="1"/>
  </cols>
  <sheetData>
    <row r="58" spans="2:13" ht="15" thickBot="1">
      <c r="B58" s="276" t="s">
        <v>146</v>
      </c>
      <c r="C58" s="276" t="s">
        <v>0</v>
      </c>
      <c r="D58" s="276" t="s">
        <v>133</v>
      </c>
      <c r="E58" s="276" t="s">
        <v>727</v>
      </c>
      <c r="F58" s="276" t="s">
        <v>728</v>
      </c>
      <c r="G58" s="276" t="s">
        <v>741</v>
      </c>
    </row>
    <row r="59" spans="2:13" ht="15" thickBot="1">
      <c r="B59" s="10" t="s">
        <v>173</v>
      </c>
      <c r="C59" s="10" t="s">
        <v>729</v>
      </c>
      <c r="D59" s="10"/>
      <c r="E59" s="10"/>
      <c r="F59" s="10"/>
      <c r="G59" s="10"/>
      <c r="K59" s="432" t="s">
        <v>146</v>
      </c>
      <c r="L59" s="433" t="s">
        <v>0</v>
      </c>
      <c r="M59" s="433" t="s">
        <v>757</v>
      </c>
    </row>
    <row r="60" spans="2:13" ht="15" thickBot="1">
      <c r="B60" s="10">
        <v>1</v>
      </c>
      <c r="C60" s="10">
        <f>'2.Capex Details'!C21</f>
        <v>0</v>
      </c>
      <c r="D60" s="10">
        <v>1</v>
      </c>
      <c r="E60" s="26"/>
      <c r="F60" s="26"/>
      <c r="G60" s="403">
        <f>F61/$F$72</f>
        <v>0</v>
      </c>
      <c r="K60" s="437" t="s">
        <v>173</v>
      </c>
      <c r="L60" s="438" t="s">
        <v>729</v>
      </c>
      <c r="M60" s="434"/>
    </row>
    <row r="61" spans="2:13" ht="15" thickBot="1">
      <c r="B61" s="492" t="s">
        <v>171</v>
      </c>
      <c r="C61" s="492"/>
      <c r="D61" s="492"/>
      <c r="E61" s="492"/>
      <c r="F61" s="26">
        <f>SUM(F60:F60)</f>
        <v>0</v>
      </c>
      <c r="G61" s="403"/>
      <c r="K61" s="435">
        <v>1</v>
      </c>
      <c r="L61" s="434"/>
      <c r="M61" s="436"/>
    </row>
    <row r="62" spans="2:13" ht="15" thickBot="1">
      <c r="B62" s="10" t="s">
        <v>730</v>
      </c>
      <c r="C62" s="10" t="s">
        <v>731</v>
      </c>
      <c r="D62" s="10"/>
      <c r="E62" s="10"/>
      <c r="F62" s="10"/>
      <c r="G62" s="399"/>
      <c r="K62" s="447" t="str">
        <f>B62</f>
        <v xml:space="preserve">B </v>
      </c>
      <c r="L62" s="448" t="str">
        <f>C62</f>
        <v>Post Harvest</v>
      </c>
      <c r="M62" s="436"/>
    </row>
    <row r="63" spans="2:13" ht="15" thickBot="1">
      <c r="B63" s="10">
        <v>1</v>
      </c>
      <c r="C63" s="10" t="s">
        <v>762</v>
      </c>
      <c r="D63" s="10">
        <v>1</v>
      </c>
      <c r="E63" s="26">
        <f>'2.Capex Details'!G6</f>
        <v>21270000</v>
      </c>
      <c r="F63" s="26">
        <f>D63*E63</f>
        <v>21270000</v>
      </c>
      <c r="G63" s="403">
        <f>F66/$F$72</f>
        <v>0.99578095076063655</v>
      </c>
      <c r="K63" s="435">
        <v>1</v>
      </c>
      <c r="L63" s="434" t="str">
        <f t="shared" ref="L63:L65" si="0">C63</f>
        <v>Construction of Warehouse</v>
      </c>
      <c r="M63" s="436" t="s">
        <v>758</v>
      </c>
    </row>
    <row r="64" spans="2:13" ht="15" thickBot="1">
      <c r="B64" s="10">
        <v>3</v>
      </c>
      <c r="C64" s="10" t="s">
        <v>763</v>
      </c>
      <c r="D64" s="10">
        <v>1</v>
      </c>
      <c r="E64" s="26">
        <f>'2.Capex Details'!G7</f>
        <v>4810427</v>
      </c>
      <c r="F64" s="26">
        <f t="shared" ref="F64:F65" si="1">D64*E64</f>
        <v>4810427</v>
      </c>
      <c r="G64" s="403"/>
      <c r="K64" s="435">
        <v>3</v>
      </c>
      <c r="L64" s="434" t="str">
        <f t="shared" si="0"/>
        <v>Construction of Cleaning &amp; Shed</v>
      </c>
      <c r="M64" s="436" t="s">
        <v>759</v>
      </c>
    </row>
    <row r="65" spans="2:13" ht="15" thickBot="1">
      <c r="B65" s="10">
        <v>4</v>
      </c>
      <c r="C65" s="10" t="s">
        <v>764</v>
      </c>
      <c r="D65" s="10">
        <v>1</v>
      </c>
      <c r="E65" s="26">
        <f>'2.Capex Details'!G47</f>
        <v>2242000</v>
      </c>
      <c r="F65" s="26">
        <f t="shared" si="1"/>
        <v>2242000</v>
      </c>
      <c r="G65" s="403"/>
      <c r="K65" s="435">
        <v>4</v>
      </c>
      <c r="L65" s="434" t="str">
        <f t="shared" si="0"/>
        <v>Cleaning &amp; Grading Machine</v>
      </c>
      <c r="M65" s="436" t="s">
        <v>759</v>
      </c>
    </row>
    <row r="66" spans="2:13" ht="15" thickBot="1">
      <c r="B66" s="492" t="s">
        <v>171</v>
      </c>
      <c r="C66" s="492"/>
      <c r="D66" s="445"/>
      <c r="E66" s="445"/>
      <c r="F66" s="26">
        <f>SUM(F63:F65)</f>
        <v>28322427</v>
      </c>
      <c r="G66" s="403"/>
      <c r="K66" s="447" t="str">
        <f>B67</f>
        <v>C</v>
      </c>
      <c r="L66" s="448" t="str">
        <f>C67</f>
        <v>Others</v>
      </c>
      <c r="M66" s="436"/>
    </row>
    <row r="67" spans="2:13" ht="15" thickBot="1">
      <c r="B67" s="10" t="s">
        <v>175</v>
      </c>
      <c r="C67" s="10" t="s">
        <v>732</v>
      </c>
      <c r="D67" s="10"/>
      <c r="E67" s="10"/>
      <c r="F67" s="10"/>
      <c r="G67" s="403"/>
      <c r="K67" s="435">
        <v>1</v>
      </c>
      <c r="L67" s="446" t="str">
        <f>C68</f>
        <v>Furniture &amp; Fixture</v>
      </c>
      <c r="M67" s="436" t="s">
        <v>758</v>
      </c>
    </row>
    <row r="68" spans="2:13" ht="15" thickBot="1">
      <c r="B68" s="10">
        <v>1</v>
      </c>
      <c r="C68" s="10" t="s">
        <v>325</v>
      </c>
      <c r="D68" s="10">
        <v>1</v>
      </c>
      <c r="E68" s="26">
        <f>'2.Capex Details'!F73</f>
        <v>0</v>
      </c>
      <c r="F68" s="26">
        <f>D68*E68</f>
        <v>0</v>
      </c>
      <c r="G68" s="493">
        <f>F71/$F$72</f>
        <v>4.2190492393634343E-3</v>
      </c>
      <c r="K68" s="435">
        <v>2</v>
      </c>
      <c r="L68" s="446" t="str">
        <f>C69</f>
        <v>IT &amp; IT Infrastracture</v>
      </c>
      <c r="M68" s="436" t="s">
        <v>758</v>
      </c>
    </row>
    <row r="69" spans="2:13" ht="15" thickBot="1">
      <c r="B69" s="10">
        <v>2</v>
      </c>
      <c r="C69" s="10" t="s">
        <v>733</v>
      </c>
      <c r="D69" s="10">
        <v>1</v>
      </c>
      <c r="E69" s="26">
        <f>'2.Capex Details'!F107</f>
        <v>0</v>
      </c>
      <c r="F69" s="26">
        <f t="shared" ref="F69:F70" si="2">D69*E69</f>
        <v>0</v>
      </c>
      <c r="G69" s="493"/>
      <c r="K69" s="435">
        <v>3</v>
      </c>
      <c r="L69" s="446" t="str">
        <f>C70</f>
        <v>Preliminary/Preoperative Expenses</v>
      </c>
      <c r="M69" s="436" t="s">
        <v>758</v>
      </c>
    </row>
    <row r="70" spans="2:13" ht="15" thickBot="1">
      <c r="B70" s="10">
        <v>3</v>
      </c>
      <c r="C70" s="10" t="s">
        <v>734</v>
      </c>
      <c r="D70" s="10">
        <v>1</v>
      </c>
      <c r="E70" s="26">
        <f>'2.Capex Details'!D146</f>
        <v>120000</v>
      </c>
      <c r="F70" s="26">
        <f t="shared" si="2"/>
        <v>120000</v>
      </c>
      <c r="G70" s="493"/>
      <c r="K70" s="435"/>
      <c r="L70" s="434"/>
      <c r="M70" s="436"/>
    </row>
    <row r="71" spans="2:13" ht="15" thickBot="1">
      <c r="B71" s="492" t="s">
        <v>171</v>
      </c>
      <c r="C71" s="492"/>
      <c r="D71" s="492"/>
      <c r="E71" s="492"/>
      <c r="F71" s="26">
        <f>SUM(F68:F70)</f>
        <v>120000</v>
      </c>
      <c r="G71" s="493"/>
      <c r="K71" s="437"/>
      <c r="L71" s="438"/>
      <c r="M71" s="439"/>
    </row>
    <row r="72" spans="2:13" ht="15" thickBot="1">
      <c r="B72" s="492" t="s">
        <v>735</v>
      </c>
      <c r="C72" s="492"/>
      <c r="D72" s="10"/>
      <c r="E72" s="10"/>
      <c r="F72" s="26">
        <f>F71+F66+F61</f>
        <v>28442427</v>
      </c>
      <c r="G72" s="398"/>
      <c r="K72" s="435"/>
      <c r="L72" s="434"/>
      <c r="M72" s="436"/>
    </row>
    <row r="73" spans="2:13" ht="15" thickBot="1">
      <c r="B73" t="s">
        <v>736</v>
      </c>
      <c r="K73" s="435"/>
      <c r="L73" s="434"/>
      <c r="M73" s="440"/>
    </row>
    <row r="74" spans="2:13" ht="15" thickBot="1">
      <c r="F74" s="66"/>
      <c r="K74" s="435"/>
      <c r="L74" s="434"/>
      <c r="M74" s="440"/>
    </row>
    <row r="75" spans="2:13" ht="15" thickBot="1">
      <c r="K75" s="435"/>
      <c r="L75" s="434"/>
      <c r="M75" s="440"/>
    </row>
    <row r="76" spans="2:13" ht="15" thickBot="1">
      <c r="F76" s="66"/>
      <c r="K76" s="437"/>
      <c r="L76" s="438"/>
      <c r="M76" s="439"/>
    </row>
    <row r="77" spans="2:13" ht="15" thickBot="1">
      <c r="K77" s="435"/>
      <c r="L77" s="434"/>
      <c r="M77" s="436"/>
    </row>
    <row r="78" spans="2:13" ht="15" thickBot="1">
      <c r="K78" s="435"/>
      <c r="L78" s="434"/>
      <c r="M78" s="436"/>
    </row>
    <row r="79" spans="2:13" ht="15" thickBot="1">
      <c r="K79" s="435"/>
      <c r="L79" s="434"/>
      <c r="M79" s="436"/>
    </row>
  </sheetData>
  <mergeCells count="5">
    <mergeCell ref="B61:E61"/>
    <mergeCell ref="B71:E71"/>
    <mergeCell ref="B72:C72"/>
    <mergeCell ref="G68:G71"/>
    <mergeCell ref="B66:C6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topLeftCell="A59" zoomScale="80" zoomScaleSheetLayoutView="80" workbookViewId="0">
      <selection activeCell="F72" sqref="F72"/>
    </sheetView>
  </sheetViews>
  <sheetFormatPr defaultRowHeight="14.5"/>
  <cols>
    <col min="2" max="2" width="15.453125" customWidth="1"/>
    <col min="3" max="3" width="28.1796875" bestFit="1" customWidth="1"/>
    <col min="4" max="4" width="14.7265625" customWidth="1"/>
    <col min="5" max="5" width="25.81640625" bestFit="1" customWidth="1"/>
    <col min="6" max="6" width="12.1796875" customWidth="1"/>
    <col min="7" max="7" width="27.26953125" bestFit="1" customWidth="1"/>
    <col min="8" max="8" width="12.26953125" bestFit="1" customWidth="1"/>
    <col min="9" max="9" width="11.7265625" bestFit="1" customWidth="1"/>
  </cols>
  <sheetData>
    <row r="2" spans="1:7" ht="17.5">
      <c r="A2" s="475" t="s">
        <v>553</v>
      </c>
      <c r="B2" s="475"/>
      <c r="C2" s="475"/>
      <c r="D2" s="475"/>
      <c r="E2" s="475"/>
      <c r="F2" s="475"/>
      <c r="G2" s="494"/>
    </row>
    <row r="3" spans="1:7">
      <c r="B3" s="15"/>
      <c r="C3" s="15"/>
      <c r="D3" s="15"/>
      <c r="E3" s="15"/>
      <c r="F3" s="15"/>
      <c r="G3" s="15"/>
    </row>
    <row r="4" spans="1:7">
      <c r="A4" s="90"/>
      <c r="B4" s="90"/>
      <c r="C4" s="90" t="s">
        <v>456</v>
      </c>
      <c r="D4" s="108">
        <f>'1.Project Cost and MOF'!E20</f>
        <v>10444275.449999999</v>
      </c>
      <c r="E4" s="90"/>
      <c r="F4" s="90"/>
      <c r="G4" s="90"/>
    </row>
    <row r="5" spans="1:7">
      <c r="A5" s="90"/>
      <c r="B5" s="90"/>
      <c r="C5" s="90" t="s">
        <v>457</v>
      </c>
      <c r="D5" s="263">
        <v>0.12</v>
      </c>
      <c r="E5" s="90"/>
      <c r="F5" s="90"/>
      <c r="G5" s="90"/>
    </row>
    <row r="6" spans="1:7">
      <c r="A6" s="90"/>
      <c r="B6" s="90"/>
      <c r="C6" s="90" t="s">
        <v>458</v>
      </c>
      <c r="D6" s="264">
        <v>5</v>
      </c>
      <c r="E6" s="90"/>
      <c r="F6" s="90"/>
      <c r="G6" s="90"/>
    </row>
    <row r="7" spans="1:7">
      <c r="A7" s="90"/>
      <c r="B7" s="90"/>
      <c r="C7" s="90" t="s">
        <v>459</v>
      </c>
      <c r="D7" s="264">
        <v>6</v>
      </c>
      <c r="E7" s="90"/>
      <c r="F7" s="90"/>
      <c r="G7" s="90"/>
    </row>
    <row r="8" spans="1:7">
      <c r="A8" s="90"/>
      <c r="B8" s="90"/>
      <c r="C8" s="90" t="s">
        <v>22</v>
      </c>
      <c r="D8" s="205">
        <f>PMT(D5/12,(D6-(D7/12))*12,-D4)</f>
        <v>251253.57481091091</v>
      </c>
      <c r="E8" s="205"/>
      <c r="F8" s="252"/>
      <c r="G8" s="90"/>
    </row>
    <row r="9" spans="1:7">
      <c r="A9" s="144" t="s">
        <v>288</v>
      </c>
      <c r="B9" s="206" t="s">
        <v>18</v>
      </c>
      <c r="C9" s="207" t="s">
        <v>19</v>
      </c>
      <c r="D9" s="207" t="s">
        <v>20</v>
      </c>
      <c r="E9" s="207" t="s">
        <v>21</v>
      </c>
      <c r="F9" s="207" t="s">
        <v>22</v>
      </c>
      <c r="G9" s="207" t="s">
        <v>23</v>
      </c>
    </row>
    <row r="10" spans="1:7">
      <c r="A10" s="91" t="s">
        <v>11</v>
      </c>
      <c r="B10" s="91" t="s">
        <v>52</v>
      </c>
      <c r="C10" s="92">
        <f>D4</f>
        <v>10444275.449999999</v>
      </c>
      <c r="D10" s="92">
        <f t="shared" ref="D10:D41" si="0">C10*$D$5/12</f>
        <v>104442.75449999998</v>
      </c>
      <c r="E10" s="92">
        <f t="shared" ref="E10:E15" si="1">F10-D10</f>
        <v>0</v>
      </c>
      <c r="F10" s="92">
        <f>D10</f>
        <v>104442.75449999998</v>
      </c>
      <c r="G10" s="92">
        <f>C10-E10</f>
        <v>10444275.449999999</v>
      </c>
    </row>
    <row r="11" spans="1:7">
      <c r="A11" s="91"/>
      <c r="B11" s="91" t="s">
        <v>53</v>
      </c>
      <c r="C11" s="92">
        <f>G10</f>
        <v>10444275.449999999</v>
      </c>
      <c r="D11" s="92">
        <f t="shared" si="0"/>
        <v>104442.75449999998</v>
      </c>
      <c r="E11" s="92">
        <f t="shared" si="1"/>
        <v>0</v>
      </c>
      <c r="F11" s="92">
        <f t="shared" ref="F11:F15" si="2">D11</f>
        <v>104442.75449999998</v>
      </c>
      <c r="G11" s="92">
        <f t="shared" ref="G11:G69" si="3">C11-E11</f>
        <v>10444275.449999999</v>
      </c>
    </row>
    <row r="12" spans="1:7">
      <c r="A12" s="91"/>
      <c r="B12" s="91" t="s">
        <v>54</v>
      </c>
      <c r="C12" s="92">
        <f t="shared" ref="C12:C69" si="4">G11</f>
        <v>10444275.449999999</v>
      </c>
      <c r="D12" s="92">
        <f t="shared" si="0"/>
        <v>104442.75449999998</v>
      </c>
      <c r="E12" s="92">
        <f t="shared" si="1"/>
        <v>0</v>
      </c>
      <c r="F12" s="92">
        <f t="shared" si="2"/>
        <v>104442.75449999998</v>
      </c>
      <c r="G12" s="92">
        <f t="shared" si="3"/>
        <v>10444275.449999999</v>
      </c>
    </row>
    <row r="13" spans="1:7">
      <c r="A13" s="91"/>
      <c r="B13" s="91" t="s">
        <v>55</v>
      </c>
      <c r="C13" s="92">
        <f t="shared" si="4"/>
        <v>10444275.449999999</v>
      </c>
      <c r="D13" s="92">
        <f t="shared" si="0"/>
        <v>104442.75449999998</v>
      </c>
      <c r="E13" s="92">
        <f t="shared" si="1"/>
        <v>0</v>
      </c>
      <c r="F13" s="92">
        <f t="shared" si="2"/>
        <v>104442.75449999998</v>
      </c>
      <c r="G13" s="92">
        <f t="shared" si="3"/>
        <v>10444275.449999999</v>
      </c>
    </row>
    <row r="14" spans="1:7">
      <c r="A14" s="91"/>
      <c r="B14" s="91" t="s">
        <v>56</v>
      </c>
      <c r="C14" s="92">
        <f t="shared" si="4"/>
        <v>10444275.449999999</v>
      </c>
      <c r="D14" s="92">
        <f t="shared" si="0"/>
        <v>104442.75449999998</v>
      </c>
      <c r="E14" s="92">
        <f t="shared" si="1"/>
        <v>0</v>
      </c>
      <c r="F14" s="92">
        <f t="shared" si="2"/>
        <v>104442.75449999998</v>
      </c>
      <c r="G14" s="92">
        <f t="shared" si="3"/>
        <v>10444275.449999999</v>
      </c>
    </row>
    <row r="15" spans="1:7">
      <c r="A15" s="91"/>
      <c r="B15" s="91" t="s">
        <v>57</v>
      </c>
      <c r="C15" s="92">
        <f t="shared" si="4"/>
        <v>10444275.449999999</v>
      </c>
      <c r="D15" s="92">
        <f t="shared" si="0"/>
        <v>104442.75449999998</v>
      </c>
      <c r="E15" s="92">
        <f t="shared" si="1"/>
        <v>0</v>
      </c>
      <c r="F15" s="92">
        <f t="shared" si="2"/>
        <v>104442.75449999998</v>
      </c>
      <c r="G15" s="92">
        <f t="shared" si="3"/>
        <v>10444275.449999999</v>
      </c>
    </row>
    <row r="16" spans="1:7">
      <c r="A16" s="91"/>
      <c r="B16" s="91" t="s">
        <v>58</v>
      </c>
      <c r="C16" s="92">
        <f t="shared" si="4"/>
        <v>10444275.449999999</v>
      </c>
      <c r="D16" s="92">
        <f t="shared" si="0"/>
        <v>104442.75449999998</v>
      </c>
      <c r="E16" s="92">
        <f>F16-D16</f>
        <v>146810.82031091093</v>
      </c>
      <c r="F16" s="92">
        <f t="shared" ref="F16:F69" si="5">$D$8</f>
        <v>251253.57481091091</v>
      </c>
      <c r="G16" s="92">
        <f t="shared" si="3"/>
        <v>10297464.629689088</v>
      </c>
    </row>
    <row r="17" spans="1:9">
      <c r="A17" s="91"/>
      <c r="B17" s="91" t="s">
        <v>59</v>
      </c>
      <c r="C17" s="92">
        <f t="shared" si="4"/>
        <v>10297464.629689088</v>
      </c>
      <c r="D17" s="92">
        <f t="shared" si="0"/>
        <v>102974.64629689087</v>
      </c>
      <c r="E17" s="92">
        <f t="shared" ref="E17:E69" si="6">F17-D17</f>
        <v>148278.92851402005</v>
      </c>
      <c r="F17" s="92">
        <f t="shared" si="5"/>
        <v>251253.57481091091</v>
      </c>
      <c r="G17" s="92">
        <f t="shared" si="3"/>
        <v>10149185.701175068</v>
      </c>
    </row>
    <row r="18" spans="1:9">
      <c r="A18" s="91"/>
      <c r="B18" s="91" t="s">
        <v>60</v>
      </c>
      <c r="C18" s="92">
        <f t="shared" si="4"/>
        <v>10149185.701175068</v>
      </c>
      <c r="D18" s="92">
        <f t="shared" si="0"/>
        <v>101491.85701175068</v>
      </c>
      <c r="E18" s="92">
        <f t="shared" si="6"/>
        <v>149761.71779916022</v>
      </c>
      <c r="F18" s="92">
        <f t="shared" si="5"/>
        <v>251253.57481091091</v>
      </c>
      <c r="G18" s="92">
        <f t="shared" si="3"/>
        <v>9999423.9833759069</v>
      </c>
    </row>
    <row r="19" spans="1:9">
      <c r="A19" s="91"/>
      <c r="B19" s="91" t="s">
        <v>61</v>
      </c>
      <c r="C19" s="92">
        <f t="shared" si="4"/>
        <v>9999423.9833759069</v>
      </c>
      <c r="D19" s="92">
        <f t="shared" si="0"/>
        <v>99994.239833759071</v>
      </c>
      <c r="E19" s="92">
        <f t="shared" si="6"/>
        <v>151259.33497715183</v>
      </c>
      <c r="F19" s="92">
        <f t="shared" si="5"/>
        <v>251253.57481091091</v>
      </c>
      <c r="G19" s="92">
        <f t="shared" si="3"/>
        <v>9848164.6483987551</v>
      </c>
    </row>
    <row r="20" spans="1:9">
      <c r="A20" s="91"/>
      <c r="B20" s="91" t="s">
        <v>62</v>
      </c>
      <c r="C20" s="92">
        <f t="shared" si="4"/>
        <v>9848164.6483987551</v>
      </c>
      <c r="D20" s="92">
        <f t="shared" si="0"/>
        <v>98481.646483987555</v>
      </c>
      <c r="E20" s="92">
        <f t="shared" si="6"/>
        <v>152771.92832692334</v>
      </c>
      <c r="F20" s="92">
        <f t="shared" si="5"/>
        <v>251253.57481091091</v>
      </c>
      <c r="G20" s="92">
        <f t="shared" si="3"/>
        <v>9695392.7200718317</v>
      </c>
    </row>
    <row r="21" spans="1:9">
      <c r="A21" s="91"/>
      <c r="B21" s="91" t="s">
        <v>63</v>
      </c>
      <c r="C21" s="92">
        <f t="shared" si="4"/>
        <v>9695392.7200718317</v>
      </c>
      <c r="D21" s="92">
        <f t="shared" si="0"/>
        <v>96953.927200718317</v>
      </c>
      <c r="E21" s="92">
        <f t="shared" si="6"/>
        <v>154299.64761019259</v>
      </c>
      <c r="F21" s="92">
        <f t="shared" si="5"/>
        <v>251253.57481091091</v>
      </c>
      <c r="G21" s="92">
        <f t="shared" si="3"/>
        <v>9541093.0724616386</v>
      </c>
      <c r="H21" s="1"/>
      <c r="I21" s="1"/>
    </row>
    <row r="22" spans="1:9">
      <c r="A22" s="91" t="s">
        <v>12</v>
      </c>
      <c r="B22" s="91" t="s">
        <v>64</v>
      </c>
      <c r="C22" s="92">
        <f t="shared" si="4"/>
        <v>9541093.0724616386</v>
      </c>
      <c r="D22" s="92">
        <f t="shared" si="0"/>
        <v>95410.930724616381</v>
      </c>
      <c r="E22" s="92">
        <f t="shared" si="6"/>
        <v>155842.64408629452</v>
      </c>
      <c r="F22" s="92">
        <f t="shared" si="5"/>
        <v>251253.57481091091</v>
      </c>
      <c r="G22" s="92">
        <f t="shared" si="3"/>
        <v>9385250.4283753447</v>
      </c>
    </row>
    <row r="23" spans="1:9">
      <c r="A23" s="91"/>
      <c r="B23" s="91" t="s">
        <v>65</v>
      </c>
      <c r="C23" s="92">
        <f t="shared" si="4"/>
        <v>9385250.4283753447</v>
      </c>
      <c r="D23" s="92">
        <f t="shared" si="0"/>
        <v>93852.504283753442</v>
      </c>
      <c r="E23" s="92">
        <f t="shared" si="6"/>
        <v>157401.07052715746</v>
      </c>
      <c r="F23" s="92">
        <f t="shared" si="5"/>
        <v>251253.57481091091</v>
      </c>
      <c r="G23" s="92">
        <f t="shared" si="3"/>
        <v>9227849.3578481879</v>
      </c>
    </row>
    <row r="24" spans="1:9">
      <c r="A24" s="91"/>
      <c r="B24" s="91" t="s">
        <v>66</v>
      </c>
      <c r="C24" s="92">
        <f t="shared" si="4"/>
        <v>9227849.3578481879</v>
      </c>
      <c r="D24" s="92">
        <f t="shared" si="0"/>
        <v>92278.493578481881</v>
      </c>
      <c r="E24" s="92">
        <f t="shared" si="6"/>
        <v>158975.08123242902</v>
      </c>
      <c r="F24" s="92">
        <f t="shared" si="5"/>
        <v>251253.57481091091</v>
      </c>
      <c r="G24" s="92">
        <f t="shared" si="3"/>
        <v>9068874.2766157594</v>
      </c>
    </row>
    <row r="25" spans="1:9">
      <c r="A25" s="91"/>
      <c r="B25" s="91" t="s">
        <v>67</v>
      </c>
      <c r="C25" s="92">
        <f t="shared" si="4"/>
        <v>9068874.2766157594</v>
      </c>
      <c r="D25" s="92">
        <f t="shared" si="0"/>
        <v>90688.742766157593</v>
      </c>
      <c r="E25" s="92">
        <f t="shared" si="6"/>
        <v>160564.8320447533</v>
      </c>
      <c r="F25" s="92">
        <f t="shared" si="5"/>
        <v>251253.57481091091</v>
      </c>
      <c r="G25" s="92">
        <f t="shared" si="3"/>
        <v>8908309.4445710052</v>
      </c>
    </row>
    <row r="26" spans="1:9">
      <c r="A26" s="91"/>
      <c r="B26" s="91" t="s">
        <v>68</v>
      </c>
      <c r="C26" s="92">
        <f t="shared" si="4"/>
        <v>8908309.4445710052</v>
      </c>
      <c r="D26" s="92">
        <f t="shared" si="0"/>
        <v>89083.094445710056</v>
      </c>
      <c r="E26" s="92">
        <f t="shared" si="6"/>
        <v>162170.48036520084</v>
      </c>
      <c r="F26" s="92">
        <f t="shared" si="5"/>
        <v>251253.57481091091</v>
      </c>
      <c r="G26" s="92">
        <f t="shared" si="3"/>
        <v>8746138.9642058052</v>
      </c>
    </row>
    <row r="27" spans="1:9">
      <c r="A27" s="91"/>
      <c r="B27" s="91" t="s">
        <v>69</v>
      </c>
      <c r="C27" s="92">
        <f t="shared" si="4"/>
        <v>8746138.9642058052</v>
      </c>
      <c r="D27" s="92">
        <f t="shared" si="0"/>
        <v>87461.389642058057</v>
      </c>
      <c r="E27" s="92">
        <f t="shared" si="6"/>
        <v>163792.18516885285</v>
      </c>
      <c r="F27" s="92">
        <f t="shared" si="5"/>
        <v>251253.57481091091</v>
      </c>
      <c r="G27" s="92">
        <f t="shared" si="3"/>
        <v>8582346.7790369522</v>
      </c>
    </row>
    <row r="28" spans="1:9">
      <c r="A28" s="91"/>
      <c r="B28" s="91" t="s">
        <v>70</v>
      </c>
      <c r="C28" s="92">
        <f t="shared" si="4"/>
        <v>8582346.7790369522</v>
      </c>
      <c r="D28" s="92">
        <f t="shared" si="0"/>
        <v>85823.467790369512</v>
      </c>
      <c r="E28" s="92">
        <f t="shared" si="6"/>
        <v>165430.10702054139</v>
      </c>
      <c r="F28" s="92">
        <f t="shared" si="5"/>
        <v>251253.57481091091</v>
      </c>
      <c r="G28" s="92">
        <f t="shared" si="3"/>
        <v>8416916.6720164102</v>
      </c>
    </row>
    <row r="29" spans="1:9">
      <c r="A29" s="91"/>
      <c r="B29" s="91" t="s">
        <v>71</v>
      </c>
      <c r="C29" s="92">
        <f t="shared" si="4"/>
        <v>8416916.6720164102</v>
      </c>
      <c r="D29" s="92">
        <f t="shared" si="0"/>
        <v>84169.166720164096</v>
      </c>
      <c r="E29" s="92">
        <f t="shared" si="6"/>
        <v>167084.40809074682</v>
      </c>
      <c r="F29" s="92">
        <f t="shared" si="5"/>
        <v>251253.57481091091</v>
      </c>
      <c r="G29" s="92">
        <f t="shared" si="3"/>
        <v>8249832.2639256632</v>
      </c>
    </row>
    <row r="30" spans="1:9">
      <c r="A30" s="91"/>
      <c r="B30" s="91" t="s">
        <v>72</v>
      </c>
      <c r="C30" s="92">
        <f t="shared" si="4"/>
        <v>8249832.2639256632</v>
      </c>
      <c r="D30" s="92">
        <f t="shared" si="0"/>
        <v>82498.322639256628</v>
      </c>
      <c r="E30" s="92">
        <f t="shared" si="6"/>
        <v>168755.25217165428</v>
      </c>
      <c r="F30" s="92">
        <f t="shared" si="5"/>
        <v>251253.57481091091</v>
      </c>
      <c r="G30" s="92">
        <f t="shared" si="3"/>
        <v>8081077.0117540089</v>
      </c>
    </row>
    <row r="31" spans="1:9">
      <c r="A31" s="91"/>
      <c r="B31" s="91" t="s">
        <v>73</v>
      </c>
      <c r="C31" s="92">
        <f t="shared" si="4"/>
        <v>8081077.0117540089</v>
      </c>
      <c r="D31" s="92">
        <f t="shared" si="0"/>
        <v>80810.770117540087</v>
      </c>
      <c r="E31" s="92">
        <f t="shared" si="6"/>
        <v>170442.80469337082</v>
      </c>
      <c r="F31" s="92">
        <f t="shared" si="5"/>
        <v>251253.57481091091</v>
      </c>
      <c r="G31" s="92">
        <f t="shared" si="3"/>
        <v>7910634.2070606379</v>
      </c>
    </row>
    <row r="32" spans="1:9">
      <c r="A32" s="91"/>
      <c r="B32" s="91" t="s">
        <v>74</v>
      </c>
      <c r="C32" s="92">
        <f t="shared" si="4"/>
        <v>7910634.2070606379</v>
      </c>
      <c r="D32" s="92">
        <f t="shared" si="0"/>
        <v>79106.342070606377</v>
      </c>
      <c r="E32" s="92">
        <f t="shared" si="6"/>
        <v>172147.23274030455</v>
      </c>
      <c r="F32" s="92">
        <f t="shared" si="5"/>
        <v>251253.57481091091</v>
      </c>
      <c r="G32" s="92">
        <f t="shared" si="3"/>
        <v>7738486.9743203335</v>
      </c>
    </row>
    <row r="33" spans="1:9">
      <c r="A33" s="91"/>
      <c r="B33" s="91" t="s">
        <v>75</v>
      </c>
      <c r="C33" s="92">
        <f t="shared" si="4"/>
        <v>7738486.9743203335</v>
      </c>
      <c r="D33" s="92">
        <f t="shared" si="0"/>
        <v>77384.869743203322</v>
      </c>
      <c r="E33" s="92">
        <f t="shared" si="6"/>
        <v>173868.70506770757</v>
      </c>
      <c r="F33" s="92">
        <f t="shared" si="5"/>
        <v>251253.57481091091</v>
      </c>
      <c r="G33" s="92">
        <f t="shared" si="3"/>
        <v>7564618.2692526262</v>
      </c>
      <c r="H33" s="1"/>
      <c r="I33" s="1"/>
    </row>
    <row r="34" spans="1:9">
      <c r="A34" s="91" t="s">
        <v>13</v>
      </c>
      <c r="B34" s="91" t="s">
        <v>76</v>
      </c>
      <c r="C34" s="92">
        <f t="shared" si="4"/>
        <v>7564618.2692526262</v>
      </c>
      <c r="D34" s="92">
        <f t="shared" si="0"/>
        <v>75646.182692526258</v>
      </c>
      <c r="E34" s="92">
        <f t="shared" si="6"/>
        <v>175607.39211838465</v>
      </c>
      <c r="F34" s="92">
        <f t="shared" si="5"/>
        <v>251253.57481091091</v>
      </c>
      <c r="G34" s="92">
        <f t="shared" si="3"/>
        <v>7389010.8771342412</v>
      </c>
    </row>
    <row r="35" spans="1:9">
      <c r="A35" s="91"/>
      <c r="B35" s="91" t="s">
        <v>77</v>
      </c>
      <c r="C35" s="92">
        <f t="shared" si="4"/>
        <v>7389010.8771342412</v>
      </c>
      <c r="D35" s="92">
        <f t="shared" si="0"/>
        <v>73890.108771342406</v>
      </c>
      <c r="E35" s="92">
        <f t="shared" si="6"/>
        <v>177363.46603956851</v>
      </c>
      <c r="F35" s="92">
        <f t="shared" si="5"/>
        <v>251253.57481091091</v>
      </c>
      <c r="G35" s="92">
        <f t="shared" si="3"/>
        <v>7211647.411094673</v>
      </c>
    </row>
    <row r="36" spans="1:9">
      <c r="A36" s="91"/>
      <c r="B36" s="91" t="s">
        <v>78</v>
      </c>
      <c r="C36" s="92">
        <f t="shared" si="4"/>
        <v>7211647.411094673</v>
      </c>
      <c r="D36" s="92">
        <f t="shared" si="0"/>
        <v>72116.474110946729</v>
      </c>
      <c r="E36" s="92">
        <f t="shared" si="6"/>
        <v>179137.10069996418</v>
      </c>
      <c r="F36" s="92">
        <f t="shared" si="5"/>
        <v>251253.57481091091</v>
      </c>
      <c r="G36" s="92">
        <f t="shared" si="3"/>
        <v>7032510.310394709</v>
      </c>
    </row>
    <row r="37" spans="1:9">
      <c r="A37" s="91"/>
      <c r="B37" s="91" t="s">
        <v>79</v>
      </c>
      <c r="C37" s="92">
        <f t="shared" si="4"/>
        <v>7032510.310394709</v>
      </c>
      <c r="D37" s="92">
        <f t="shared" si="0"/>
        <v>70325.103103947084</v>
      </c>
      <c r="E37" s="92">
        <f t="shared" si="6"/>
        <v>180928.47170696384</v>
      </c>
      <c r="F37" s="92">
        <f t="shared" si="5"/>
        <v>251253.57481091091</v>
      </c>
      <c r="G37" s="92">
        <f t="shared" si="3"/>
        <v>6851581.8386877449</v>
      </c>
    </row>
    <row r="38" spans="1:9">
      <c r="A38" s="91"/>
      <c r="B38" s="91" t="s">
        <v>80</v>
      </c>
      <c r="C38" s="92">
        <f t="shared" si="4"/>
        <v>6851581.8386877449</v>
      </c>
      <c r="D38" s="92">
        <f t="shared" si="0"/>
        <v>68515.81838687745</v>
      </c>
      <c r="E38" s="92">
        <f t="shared" si="6"/>
        <v>182737.75642403346</v>
      </c>
      <c r="F38" s="92">
        <f t="shared" si="5"/>
        <v>251253.57481091091</v>
      </c>
      <c r="G38" s="92">
        <f t="shared" si="3"/>
        <v>6668844.0822637118</v>
      </c>
    </row>
    <row r="39" spans="1:9">
      <c r="A39" s="91"/>
      <c r="B39" s="91" t="s">
        <v>81</v>
      </c>
      <c r="C39" s="92">
        <f t="shared" si="4"/>
        <v>6668844.0822637118</v>
      </c>
      <c r="D39" s="92">
        <f t="shared" si="0"/>
        <v>66688.440822637116</v>
      </c>
      <c r="E39" s="92">
        <f t="shared" si="6"/>
        <v>184565.1339882738</v>
      </c>
      <c r="F39" s="92">
        <f t="shared" si="5"/>
        <v>251253.57481091091</v>
      </c>
      <c r="G39" s="92">
        <f t="shared" si="3"/>
        <v>6484278.9482754376</v>
      </c>
    </row>
    <row r="40" spans="1:9">
      <c r="A40" s="91"/>
      <c r="B40" s="91" t="s">
        <v>82</v>
      </c>
      <c r="C40" s="92">
        <f t="shared" si="4"/>
        <v>6484278.9482754376</v>
      </c>
      <c r="D40" s="92">
        <f t="shared" si="0"/>
        <v>64842.789482754371</v>
      </c>
      <c r="E40" s="92">
        <f t="shared" si="6"/>
        <v>186410.78532815655</v>
      </c>
      <c r="F40" s="92">
        <f t="shared" si="5"/>
        <v>251253.57481091091</v>
      </c>
      <c r="G40" s="92">
        <f t="shared" si="3"/>
        <v>6297868.1629472813</v>
      </c>
    </row>
    <row r="41" spans="1:9">
      <c r="A41" s="91"/>
      <c r="B41" s="91" t="s">
        <v>83</v>
      </c>
      <c r="C41" s="92">
        <f t="shared" si="4"/>
        <v>6297868.1629472813</v>
      </c>
      <c r="D41" s="92">
        <f t="shared" si="0"/>
        <v>62978.681629472812</v>
      </c>
      <c r="E41" s="92">
        <f t="shared" si="6"/>
        <v>188274.89318143809</v>
      </c>
      <c r="F41" s="92">
        <f t="shared" si="5"/>
        <v>251253.57481091091</v>
      </c>
      <c r="G41" s="92">
        <f t="shared" si="3"/>
        <v>6109593.2697658427</v>
      </c>
    </row>
    <row r="42" spans="1:9">
      <c r="A42" s="91"/>
      <c r="B42" s="91" t="s">
        <v>84</v>
      </c>
      <c r="C42" s="92">
        <f t="shared" si="4"/>
        <v>6109593.2697658427</v>
      </c>
      <c r="D42" s="92">
        <f t="shared" ref="D42:D69" si="7">C42*$D$5/12</f>
        <v>61095.932697658427</v>
      </c>
      <c r="E42" s="92">
        <f t="shared" si="6"/>
        <v>190157.64211325248</v>
      </c>
      <c r="F42" s="92">
        <f t="shared" si="5"/>
        <v>251253.57481091091</v>
      </c>
      <c r="G42" s="92">
        <f t="shared" si="3"/>
        <v>5919435.6276525902</v>
      </c>
    </row>
    <row r="43" spans="1:9">
      <c r="A43" s="91"/>
      <c r="B43" s="91" t="s">
        <v>85</v>
      </c>
      <c r="C43" s="92">
        <f t="shared" si="4"/>
        <v>5919435.6276525902</v>
      </c>
      <c r="D43" s="92">
        <f t="shared" si="7"/>
        <v>59194.356276525905</v>
      </c>
      <c r="E43" s="92">
        <f t="shared" si="6"/>
        <v>192059.218534385</v>
      </c>
      <c r="F43" s="92">
        <f t="shared" si="5"/>
        <v>251253.57481091091</v>
      </c>
      <c r="G43" s="92">
        <f t="shared" si="3"/>
        <v>5727376.4091182053</v>
      </c>
    </row>
    <row r="44" spans="1:9">
      <c r="A44" s="91"/>
      <c r="B44" s="91" t="s">
        <v>86</v>
      </c>
      <c r="C44" s="92">
        <f t="shared" si="4"/>
        <v>5727376.4091182053</v>
      </c>
      <c r="D44" s="92">
        <f t="shared" si="7"/>
        <v>57273.764091182056</v>
      </c>
      <c r="E44" s="92">
        <f t="shared" si="6"/>
        <v>193979.81071972885</v>
      </c>
      <c r="F44" s="92">
        <f t="shared" si="5"/>
        <v>251253.57481091091</v>
      </c>
      <c r="G44" s="92">
        <f t="shared" si="3"/>
        <v>5533396.5983984768</v>
      </c>
    </row>
    <row r="45" spans="1:9">
      <c r="A45" s="91"/>
      <c r="B45" s="91" t="s">
        <v>87</v>
      </c>
      <c r="C45" s="92">
        <f t="shared" si="4"/>
        <v>5533396.5983984768</v>
      </c>
      <c r="D45" s="92">
        <f t="shared" si="7"/>
        <v>55333.965983984766</v>
      </c>
      <c r="E45" s="92">
        <f t="shared" si="6"/>
        <v>195919.60882692615</v>
      </c>
      <c r="F45" s="92">
        <f t="shared" si="5"/>
        <v>251253.57481091091</v>
      </c>
      <c r="G45" s="92">
        <f t="shared" si="3"/>
        <v>5337476.9895715509</v>
      </c>
      <c r="H45" s="1"/>
      <c r="I45" s="1"/>
    </row>
    <row r="46" spans="1:9">
      <c r="A46" s="91" t="s">
        <v>14</v>
      </c>
      <c r="B46" s="91" t="s">
        <v>88</v>
      </c>
      <c r="C46" s="92">
        <f t="shared" si="4"/>
        <v>5337476.9895715509</v>
      </c>
      <c r="D46" s="92">
        <f t="shared" si="7"/>
        <v>53374.769895715501</v>
      </c>
      <c r="E46" s="92">
        <f t="shared" si="6"/>
        <v>197878.80491519542</v>
      </c>
      <c r="F46" s="92">
        <f t="shared" si="5"/>
        <v>251253.57481091091</v>
      </c>
      <c r="G46" s="92">
        <f t="shared" si="3"/>
        <v>5139598.1846563555</v>
      </c>
    </row>
    <row r="47" spans="1:9">
      <c r="A47" s="91"/>
      <c r="B47" s="91" t="s">
        <v>89</v>
      </c>
      <c r="C47" s="92">
        <f t="shared" si="4"/>
        <v>5139598.1846563555</v>
      </c>
      <c r="D47" s="92">
        <f t="shared" si="7"/>
        <v>51395.981846563554</v>
      </c>
      <c r="E47" s="92">
        <f t="shared" si="6"/>
        <v>199857.59296434736</v>
      </c>
      <c r="F47" s="92">
        <f t="shared" si="5"/>
        <v>251253.57481091091</v>
      </c>
      <c r="G47" s="92">
        <f t="shared" si="3"/>
        <v>4939740.5916920081</v>
      </c>
    </row>
    <row r="48" spans="1:9">
      <c r="A48" s="91"/>
      <c r="B48" s="91" t="s">
        <v>90</v>
      </c>
      <c r="C48" s="92">
        <f t="shared" si="4"/>
        <v>4939740.5916920081</v>
      </c>
      <c r="D48" s="92">
        <f t="shared" si="7"/>
        <v>49397.405916920077</v>
      </c>
      <c r="E48" s="92">
        <f t="shared" si="6"/>
        <v>201856.16889399083</v>
      </c>
      <c r="F48" s="92">
        <f t="shared" si="5"/>
        <v>251253.57481091091</v>
      </c>
      <c r="G48" s="92">
        <f t="shared" si="3"/>
        <v>4737884.422798017</v>
      </c>
    </row>
    <row r="49" spans="1:9">
      <c r="A49" s="91"/>
      <c r="B49" s="91" t="s">
        <v>91</v>
      </c>
      <c r="C49" s="92">
        <f t="shared" si="4"/>
        <v>4737884.422798017</v>
      </c>
      <c r="D49" s="92">
        <f t="shared" si="7"/>
        <v>47378.844227980175</v>
      </c>
      <c r="E49" s="92">
        <f t="shared" si="6"/>
        <v>203874.73058293073</v>
      </c>
      <c r="F49" s="92">
        <f t="shared" si="5"/>
        <v>251253.57481091091</v>
      </c>
      <c r="G49" s="92">
        <f t="shared" si="3"/>
        <v>4534009.692215086</v>
      </c>
    </row>
    <row r="50" spans="1:9">
      <c r="A50" s="91"/>
      <c r="B50" s="91" t="s">
        <v>92</v>
      </c>
      <c r="C50" s="92">
        <f t="shared" si="4"/>
        <v>4534009.692215086</v>
      </c>
      <c r="D50" s="92">
        <f t="shared" si="7"/>
        <v>45340.096922150864</v>
      </c>
      <c r="E50" s="92">
        <f t="shared" si="6"/>
        <v>205913.47788876004</v>
      </c>
      <c r="F50" s="92">
        <f t="shared" si="5"/>
        <v>251253.57481091091</v>
      </c>
      <c r="G50" s="92">
        <f t="shared" si="3"/>
        <v>4328096.2143263258</v>
      </c>
    </row>
    <row r="51" spans="1:9">
      <c r="A51" s="91"/>
      <c r="B51" s="91" t="s">
        <v>93</v>
      </c>
      <c r="C51" s="92">
        <f t="shared" si="4"/>
        <v>4328096.2143263258</v>
      </c>
      <c r="D51" s="92">
        <f t="shared" si="7"/>
        <v>43280.962143263256</v>
      </c>
      <c r="E51" s="92">
        <f t="shared" si="6"/>
        <v>207972.61266764766</v>
      </c>
      <c r="F51" s="92">
        <f t="shared" si="5"/>
        <v>251253.57481091091</v>
      </c>
      <c r="G51" s="92">
        <f t="shared" si="3"/>
        <v>4120123.6016586781</v>
      </c>
    </row>
    <row r="52" spans="1:9">
      <c r="A52" s="91"/>
      <c r="B52" s="91" t="s">
        <v>94</v>
      </c>
      <c r="C52" s="92">
        <f t="shared" si="4"/>
        <v>4120123.6016586781</v>
      </c>
      <c r="D52" s="92">
        <f t="shared" si="7"/>
        <v>41201.236016586779</v>
      </c>
      <c r="E52" s="92">
        <f t="shared" si="6"/>
        <v>210052.33879432414</v>
      </c>
      <c r="F52" s="92">
        <f t="shared" si="5"/>
        <v>251253.57481091091</v>
      </c>
      <c r="G52" s="92">
        <f t="shared" si="3"/>
        <v>3910071.2628643541</v>
      </c>
    </row>
    <row r="53" spans="1:9">
      <c r="A53" s="91"/>
      <c r="B53" s="91" t="s">
        <v>95</v>
      </c>
      <c r="C53" s="92">
        <f t="shared" si="4"/>
        <v>3910071.2628643541</v>
      </c>
      <c r="D53" s="92">
        <f t="shared" si="7"/>
        <v>39100.712628643538</v>
      </c>
      <c r="E53" s="92">
        <f t="shared" si="6"/>
        <v>212152.86218226736</v>
      </c>
      <c r="F53" s="92">
        <f t="shared" si="5"/>
        <v>251253.57481091091</v>
      </c>
      <c r="G53" s="92">
        <f t="shared" si="3"/>
        <v>3697918.4006820866</v>
      </c>
    </row>
    <row r="54" spans="1:9">
      <c r="A54" s="91"/>
      <c r="B54" s="91" t="s">
        <v>96</v>
      </c>
      <c r="C54" s="92">
        <f t="shared" si="4"/>
        <v>3697918.4006820866</v>
      </c>
      <c r="D54" s="92">
        <f t="shared" si="7"/>
        <v>36979.184006820862</v>
      </c>
      <c r="E54" s="92">
        <f t="shared" si="6"/>
        <v>214274.39080409004</v>
      </c>
      <c r="F54" s="92">
        <f t="shared" si="5"/>
        <v>251253.57481091091</v>
      </c>
      <c r="G54" s="92">
        <f t="shared" si="3"/>
        <v>3483644.0098779965</v>
      </c>
    </row>
    <row r="55" spans="1:9">
      <c r="A55" s="91"/>
      <c r="B55" s="91" t="s">
        <v>97</v>
      </c>
      <c r="C55" s="92">
        <f t="shared" si="4"/>
        <v>3483644.0098779965</v>
      </c>
      <c r="D55" s="92">
        <f t="shared" si="7"/>
        <v>34836.440098779967</v>
      </c>
      <c r="E55" s="92">
        <f t="shared" si="6"/>
        <v>216417.13471213094</v>
      </c>
      <c r="F55" s="92">
        <f t="shared" si="5"/>
        <v>251253.57481091091</v>
      </c>
      <c r="G55" s="92">
        <f t="shared" si="3"/>
        <v>3267226.8751658658</v>
      </c>
    </row>
    <row r="56" spans="1:9">
      <c r="A56" s="91"/>
      <c r="B56" s="91" t="s">
        <v>98</v>
      </c>
      <c r="C56" s="92">
        <f t="shared" si="4"/>
        <v>3267226.8751658658</v>
      </c>
      <c r="D56" s="92">
        <f t="shared" si="7"/>
        <v>32672.268751658656</v>
      </c>
      <c r="E56" s="92">
        <f t="shared" si="6"/>
        <v>218581.30605925227</v>
      </c>
      <c r="F56" s="92">
        <f t="shared" si="5"/>
        <v>251253.57481091091</v>
      </c>
      <c r="G56" s="92">
        <f t="shared" si="3"/>
        <v>3048645.5691066133</v>
      </c>
    </row>
    <row r="57" spans="1:9">
      <c r="A57" s="91"/>
      <c r="B57" s="91" t="s">
        <v>99</v>
      </c>
      <c r="C57" s="92">
        <f t="shared" si="4"/>
        <v>3048645.5691066133</v>
      </c>
      <c r="D57" s="92">
        <f t="shared" si="7"/>
        <v>30486.455691066134</v>
      </c>
      <c r="E57" s="92">
        <f t="shared" si="6"/>
        <v>220767.11911984478</v>
      </c>
      <c r="F57" s="92">
        <f t="shared" si="5"/>
        <v>251253.57481091091</v>
      </c>
      <c r="G57" s="92">
        <f t="shared" si="3"/>
        <v>2827878.4499867684</v>
      </c>
      <c r="H57" s="1"/>
      <c r="I57" s="1"/>
    </row>
    <row r="58" spans="1:9">
      <c r="A58" s="91" t="s">
        <v>15</v>
      </c>
      <c r="B58" s="91" t="s">
        <v>100</v>
      </c>
      <c r="C58" s="92">
        <f t="shared" si="4"/>
        <v>2827878.4499867684</v>
      </c>
      <c r="D58" s="92">
        <f t="shared" si="7"/>
        <v>28278.784499867685</v>
      </c>
      <c r="E58" s="92">
        <f t="shared" si="6"/>
        <v>222974.79031104324</v>
      </c>
      <c r="F58" s="92">
        <f t="shared" si="5"/>
        <v>251253.57481091091</v>
      </c>
      <c r="G58" s="92">
        <f t="shared" si="3"/>
        <v>2604903.6596757253</v>
      </c>
    </row>
    <row r="59" spans="1:9">
      <c r="A59" s="91"/>
      <c r="B59" s="91" t="s">
        <v>101</v>
      </c>
      <c r="C59" s="92">
        <f t="shared" si="4"/>
        <v>2604903.6596757253</v>
      </c>
      <c r="D59" s="92">
        <f t="shared" si="7"/>
        <v>26049.036596757254</v>
      </c>
      <c r="E59" s="92">
        <f t="shared" si="6"/>
        <v>225204.53821415367</v>
      </c>
      <c r="F59" s="92">
        <f t="shared" si="5"/>
        <v>251253.57481091091</v>
      </c>
      <c r="G59" s="92">
        <f t="shared" si="3"/>
        <v>2379699.1214615717</v>
      </c>
    </row>
    <row r="60" spans="1:9">
      <c r="A60" s="91"/>
      <c r="B60" s="91" t="s">
        <v>102</v>
      </c>
      <c r="C60" s="92">
        <f t="shared" si="4"/>
        <v>2379699.1214615717</v>
      </c>
      <c r="D60" s="92">
        <f t="shared" si="7"/>
        <v>23796.991214615715</v>
      </c>
      <c r="E60" s="92">
        <f t="shared" si="6"/>
        <v>227456.58359629521</v>
      </c>
      <c r="F60" s="92">
        <f t="shared" si="5"/>
        <v>251253.57481091091</v>
      </c>
      <c r="G60" s="92">
        <f t="shared" si="3"/>
        <v>2152242.5378652764</v>
      </c>
    </row>
    <row r="61" spans="1:9">
      <c r="A61" s="91"/>
      <c r="B61" s="91" t="s">
        <v>103</v>
      </c>
      <c r="C61" s="92">
        <f t="shared" si="4"/>
        <v>2152242.5378652764</v>
      </c>
      <c r="D61" s="92">
        <f t="shared" si="7"/>
        <v>21522.425378652766</v>
      </c>
      <c r="E61" s="92">
        <f t="shared" si="6"/>
        <v>229731.14943225816</v>
      </c>
      <c r="F61" s="92">
        <f t="shared" si="5"/>
        <v>251253.57481091091</v>
      </c>
      <c r="G61" s="92">
        <f t="shared" si="3"/>
        <v>1922511.3884330182</v>
      </c>
    </row>
    <row r="62" spans="1:9">
      <c r="A62" s="91"/>
      <c r="B62" s="91" t="s">
        <v>104</v>
      </c>
      <c r="C62" s="92">
        <f t="shared" si="4"/>
        <v>1922511.3884330182</v>
      </c>
      <c r="D62" s="92">
        <f t="shared" si="7"/>
        <v>19225.113884330181</v>
      </c>
      <c r="E62" s="92">
        <f t="shared" si="6"/>
        <v>232028.46092658074</v>
      </c>
      <c r="F62" s="92">
        <f t="shared" si="5"/>
        <v>251253.57481091091</v>
      </c>
      <c r="G62" s="92">
        <f t="shared" si="3"/>
        <v>1690482.9275064375</v>
      </c>
    </row>
    <row r="63" spans="1:9">
      <c r="A63" s="91"/>
      <c r="B63" s="91" t="s">
        <v>105</v>
      </c>
      <c r="C63" s="92">
        <f t="shared" si="4"/>
        <v>1690482.9275064375</v>
      </c>
      <c r="D63" s="92">
        <f t="shared" si="7"/>
        <v>16904.829275064374</v>
      </c>
      <c r="E63" s="92">
        <f t="shared" si="6"/>
        <v>234348.74553584654</v>
      </c>
      <c r="F63" s="92">
        <f t="shared" si="5"/>
        <v>251253.57481091091</v>
      </c>
      <c r="G63" s="92">
        <f t="shared" si="3"/>
        <v>1456134.181970591</v>
      </c>
    </row>
    <row r="64" spans="1:9">
      <c r="A64" s="91"/>
      <c r="B64" s="91" t="s">
        <v>106</v>
      </c>
      <c r="C64" s="92">
        <f t="shared" si="4"/>
        <v>1456134.181970591</v>
      </c>
      <c r="D64" s="92">
        <f t="shared" si="7"/>
        <v>14561.341819705909</v>
      </c>
      <c r="E64" s="92">
        <f t="shared" si="6"/>
        <v>236692.232991205</v>
      </c>
      <c r="F64" s="92">
        <f t="shared" si="5"/>
        <v>251253.57481091091</v>
      </c>
      <c r="G64" s="92">
        <f t="shared" si="3"/>
        <v>1219441.9489793859</v>
      </c>
    </row>
    <row r="65" spans="1:9">
      <c r="A65" s="91"/>
      <c r="B65" s="91" t="s">
        <v>107</v>
      </c>
      <c r="C65" s="92">
        <f t="shared" si="4"/>
        <v>1219441.9489793859</v>
      </c>
      <c r="D65" s="92">
        <f t="shared" si="7"/>
        <v>12194.419489793858</v>
      </c>
      <c r="E65" s="92">
        <f t="shared" si="6"/>
        <v>239059.15532111705</v>
      </c>
      <c r="F65" s="92">
        <f t="shared" si="5"/>
        <v>251253.57481091091</v>
      </c>
      <c r="G65" s="92">
        <f t="shared" si="3"/>
        <v>980382.79365826887</v>
      </c>
    </row>
    <row r="66" spans="1:9">
      <c r="A66" s="91"/>
      <c r="B66" s="91" t="s">
        <v>108</v>
      </c>
      <c r="C66" s="92">
        <f t="shared" si="4"/>
        <v>980382.79365826887</v>
      </c>
      <c r="D66" s="92">
        <f t="shared" si="7"/>
        <v>9803.8279365826875</v>
      </c>
      <c r="E66" s="92">
        <f t="shared" si="6"/>
        <v>241449.74687432824</v>
      </c>
      <c r="F66" s="92">
        <f t="shared" si="5"/>
        <v>251253.57481091091</v>
      </c>
      <c r="G66" s="92">
        <f t="shared" si="3"/>
        <v>738933.04678394063</v>
      </c>
    </row>
    <row r="67" spans="1:9">
      <c r="A67" s="91"/>
      <c r="B67" s="91" t="s">
        <v>109</v>
      </c>
      <c r="C67" s="92">
        <f t="shared" si="4"/>
        <v>738933.04678394063</v>
      </c>
      <c r="D67" s="92">
        <f t="shared" si="7"/>
        <v>7389.3304678394061</v>
      </c>
      <c r="E67" s="92">
        <f t="shared" si="6"/>
        <v>243864.24434307151</v>
      </c>
      <c r="F67" s="92">
        <f t="shared" si="5"/>
        <v>251253.57481091091</v>
      </c>
      <c r="G67" s="92">
        <f t="shared" si="3"/>
        <v>495068.80244086916</v>
      </c>
    </row>
    <row r="68" spans="1:9">
      <c r="A68" s="91"/>
      <c r="B68" s="91" t="s">
        <v>110</v>
      </c>
      <c r="C68" s="92">
        <f t="shared" si="4"/>
        <v>495068.80244086916</v>
      </c>
      <c r="D68" s="92">
        <f t="shared" si="7"/>
        <v>4950.6880244086915</v>
      </c>
      <c r="E68" s="92">
        <f t="shared" si="6"/>
        <v>246302.88678650223</v>
      </c>
      <c r="F68" s="92">
        <f t="shared" si="5"/>
        <v>251253.57481091091</v>
      </c>
      <c r="G68" s="92">
        <f t="shared" si="3"/>
        <v>248765.91565436692</v>
      </c>
    </row>
    <row r="69" spans="1:9">
      <c r="A69" s="91"/>
      <c r="B69" s="91" t="s">
        <v>111</v>
      </c>
      <c r="C69" s="92">
        <f t="shared" si="4"/>
        <v>248765.91565436692</v>
      </c>
      <c r="D69" s="92">
        <f t="shared" si="7"/>
        <v>2487.6591565436693</v>
      </c>
      <c r="E69" s="92">
        <f t="shared" si="6"/>
        <v>248765.91565436724</v>
      </c>
      <c r="F69" s="92">
        <f t="shared" si="5"/>
        <v>251253.57481091091</v>
      </c>
      <c r="G69" s="92">
        <f t="shared" si="3"/>
        <v>-3.2014213502407074E-10</v>
      </c>
      <c r="H69" s="1"/>
      <c r="I69" s="1"/>
    </row>
    <row r="70" spans="1:9">
      <c r="A70" s="91" t="s">
        <v>16</v>
      </c>
      <c r="B70" s="91" t="s">
        <v>112</v>
      </c>
      <c r="C70" s="92"/>
      <c r="D70" s="92"/>
      <c r="E70" s="92"/>
      <c r="F70" s="92"/>
      <c r="G70" s="92"/>
    </row>
    <row r="71" spans="1:9">
      <c r="A71" s="91"/>
      <c r="B71" s="91" t="s">
        <v>113</v>
      </c>
      <c r="C71" s="92"/>
      <c r="D71" s="92"/>
      <c r="E71" s="92"/>
      <c r="F71" s="92"/>
      <c r="G71" s="92"/>
    </row>
    <row r="72" spans="1:9">
      <c r="A72" s="91"/>
      <c r="B72" s="91" t="s">
        <v>114</v>
      </c>
      <c r="C72" s="92"/>
      <c r="D72" s="92"/>
      <c r="E72" s="92"/>
      <c r="F72" s="92"/>
      <c r="G72" s="92"/>
    </row>
    <row r="73" spans="1:9">
      <c r="A73" s="91"/>
      <c r="B73" s="91" t="s">
        <v>115</v>
      </c>
      <c r="C73" s="92"/>
      <c r="D73" s="92"/>
      <c r="E73" s="92"/>
      <c r="F73" s="92"/>
      <c r="G73" s="92"/>
    </row>
    <row r="74" spans="1:9">
      <c r="A74" s="91"/>
      <c r="B74" s="91" t="s">
        <v>116</v>
      </c>
      <c r="C74" s="92"/>
      <c r="D74" s="92"/>
      <c r="E74" s="92"/>
      <c r="F74" s="92"/>
      <c r="G74" s="92"/>
    </row>
    <row r="75" spans="1:9">
      <c r="A75" s="91"/>
      <c r="B75" s="91" t="s">
        <v>117</v>
      </c>
      <c r="C75" s="92"/>
      <c r="D75" s="92"/>
      <c r="E75" s="92"/>
      <c r="F75" s="92"/>
      <c r="G75" s="92"/>
    </row>
    <row r="76" spans="1:9">
      <c r="A76" s="91"/>
      <c r="B76" s="91" t="s">
        <v>118</v>
      </c>
      <c r="C76" s="92"/>
      <c r="D76" s="92"/>
      <c r="E76" s="92"/>
      <c r="F76" s="92"/>
      <c r="G76" s="92"/>
    </row>
    <row r="77" spans="1:9">
      <c r="A77" s="91"/>
      <c r="B77" s="91" t="s">
        <v>119</v>
      </c>
      <c r="C77" s="92"/>
      <c r="D77" s="92"/>
      <c r="E77" s="92"/>
      <c r="F77" s="92"/>
      <c r="G77" s="92"/>
    </row>
    <row r="78" spans="1:9">
      <c r="A78" s="91"/>
      <c r="B78" s="91" t="s">
        <v>120</v>
      </c>
      <c r="C78" s="92"/>
      <c r="D78" s="92"/>
      <c r="E78" s="92"/>
      <c r="F78" s="92"/>
      <c r="G78" s="92"/>
    </row>
    <row r="79" spans="1:9">
      <c r="A79" s="91"/>
      <c r="B79" s="91" t="s">
        <v>121</v>
      </c>
      <c r="C79" s="92"/>
      <c r="D79" s="92"/>
      <c r="E79" s="92"/>
      <c r="F79" s="92"/>
      <c r="G79" s="92"/>
    </row>
    <row r="80" spans="1:9">
      <c r="A80" s="91"/>
      <c r="B80" s="91" t="s">
        <v>122</v>
      </c>
      <c r="C80" s="92"/>
      <c r="D80" s="92"/>
      <c r="E80" s="92"/>
      <c r="F80" s="92"/>
      <c r="G80" s="92"/>
    </row>
    <row r="81" spans="1:9">
      <c r="A81" s="91"/>
      <c r="B81" s="91" t="s">
        <v>123</v>
      </c>
      <c r="C81" s="92"/>
      <c r="D81" s="92"/>
      <c r="E81" s="92"/>
      <c r="F81" s="92"/>
      <c r="G81" s="92"/>
      <c r="H81" s="1"/>
      <c r="I81" s="1"/>
    </row>
    <row r="82" spans="1:9">
      <c r="A82" s="91" t="s">
        <v>277</v>
      </c>
      <c r="B82" s="91" t="s">
        <v>212</v>
      </c>
      <c r="C82" s="92"/>
      <c r="D82" s="92"/>
      <c r="E82" s="92"/>
      <c r="F82" s="92"/>
      <c r="G82" s="92"/>
    </row>
    <row r="83" spans="1:9">
      <c r="A83" s="91"/>
      <c r="B83" s="91" t="s">
        <v>213</v>
      </c>
      <c r="C83" s="92"/>
      <c r="D83" s="92"/>
      <c r="E83" s="92"/>
      <c r="F83" s="92"/>
      <c r="G83" s="92"/>
    </row>
    <row r="84" spans="1:9">
      <c r="A84" s="91"/>
      <c r="B84" s="91" t="s">
        <v>214</v>
      </c>
      <c r="C84" s="92"/>
      <c r="D84" s="92"/>
      <c r="E84" s="92"/>
      <c r="F84" s="92"/>
      <c r="G84" s="92"/>
    </row>
    <row r="85" spans="1:9">
      <c r="A85" s="91"/>
      <c r="B85" s="91" t="s">
        <v>215</v>
      </c>
      <c r="C85" s="92"/>
      <c r="D85" s="92"/>
      <c r="E85" s="92"/>
      <c r="F85" s="92"/>
      <c r="G85" s="92"/>
    </row>
    <row r="86" spans="1:9">
      <c r="A86" s="91"/>
      <c r="B86" s="91" t="s">
        <v>216</v>
      </c>
      <c r="C86" s="92"/>
      <c r="D86" s="92"/>
      <c r="E86" s="92"/>
      <c r="F86" s="92"/>
      <c r="G86" s="92"/>
    </row>
    <row r="87" spans="1:9">
      <c r="A87" s="91"/>
      <c r="B87" s="91" t="s">
        <v>217</v>
      </c>
      <c r="C87" s="92"/>
      <c r="D87" s="92"/>
      <c r="E87" s="92"/>
      <c r="F87" s="92"/>
      <c r="G87" s="92"/>
    </row>
    <row r="88" spans="1:9">
      <c r="A88" s="91"/>
      <c r="B88" s="91" t="s">
        <v>218</v>
      </c>
      <c r="C88" s="92"/>
      <c r="D88" s="92"/>
      <c r="E88" s="92"/>
      <c r="F88" s="92"/>
      <c r="G88" s="92"/>
    </row>
    <row r="89" spans="1:9">
      <c r="A89" s="91"/>
      <c r="B89" s="91" t="s">
        <v>219</v>
      </c>
      <c r="C89" s="92"/>
      <c r="D89" s="92"/>
      <c r="E89" s="92"/>
      <c r="F89" s="92"/>
      <c r="G89" s="92"/>
    </row>
    <row r="90" spans="1:9">
      <c r="A90" s="91"/>
      <c r="B90" s="91" t="s">
        <v>220</v>
      </c>
      <c r="C90" s="92"/>
      <c r="D90" s="92"/>
      <c r="E90" s="92"/>
      <c r="F90" s="92"/>
      <c r="G90" s="92"/>
    </row>
    <row r="91" spans="1:9">
      <c r="A91" s="91"/>
      <c r="B91" s="91" t="s">
        <v>221</v>
      </c>
      <c r="C91" s="92"/>
      <c r="D91" s="92"/>
      <c r="E91" s="92"/>
      <c r="F91" s="92"/>
      <c r="G91" s="92"/>
    </row>
    <row r="92" spans="1:9">
      <c r="A92" s="91"/>
      <c r="B92" s="91" t="s">
        <v>222</v>
      </c>
      <c r="C92" s="92"/>
      <c r="D92" s="92"/>
      <c r="E92" s="92"/>
      <c r="F92" s="92"/>
      <c r="G92" s="92"/>
    </row>
    <row r="93" spans="1:9">
      <c r="A93" s="91"/>
      <c r="B93" s="91" t="s">
        <v>223</v>
      </c>
      <c r="C93" s="92"/>
      <c r="D93" s="92"/>
      <c r="E93" s="92"/>
      <c r="F93" s="92"/>
      <c r="G93" s="92"/>
    </row>
    <row r="94" spans="1:9">
      <c r="A94" s="90"/>
      <c r="B94" s="90"/>
      <c r="C94" s="90"/>
      <c r="D94" s="99">
        <f>SUM(D10:D93)</f>
        <v>3750074.1167891906</v>
      </c>
      <c r="E94" s="99">
        <f>SUM(E10:E93)</f>
        <v>10444275.449999999</v>
      </c>
      <c r="F94" s="90"/>
      <c r="G94" s="90"/>
    </row>
    <row r="95" spans="1:9" ht="40" customHeight="1">
      <c r="A95" s="495" t="s">
        <v>408</v>
      </c>
      <c r="B95" s="495"/>
      <c r="C95" s="495"/>
      <c r="D95" s="495"/>
      <c r="E95" s="495"/>
      <c r="F95" s="495"/>
      <c r="G95" s="495"/>
      <c r="H95" s="495"/>
    </row>
    <row r="96" spans="1:9">
      <c r="A96" t="s">
        <v>530</v>
      </c>
    </row>
    <row r="97" spans="1:2">
      <c r="A97">
        <v>1</v>
      </c>
      <c r="B97" t="s">
        <v>531</v>
      </c>
    </row>
    <row r="98" spans="1:2">
      <c r="A98">
        <v>2</v>
      </c>
      <c r="B98" t="s">
        <v>532</v>
      </c>
    </row>
  </sheetData>
  <mergeCells count="2">
    <mergeCell ref="A2:G2"/>
    <mergeCell ref="A95:H95"/>
  </mergeCells>
  <phoneticPr fontId="68" type="noConversion"/>
  <pageMargins left="0.7" right="0.7" top="0.75" bottom="0.75" header="0.3" footer="0.3"/>
  <pageSetup scale="59" orientation="portrait" r:id="rId1"/>
  <rowBreaks count="1" manualBreakCount="1">
    <brk id="6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71"/>
  <sheetViews>
    <sheetView view="pageBreakPreview" topLeftCell="D45" zoomScale="80" zoomScaleSheetLayoutView="80" workbookViewId="0">
      <selection activeCell="A60" sqref="A60:L60"/>
    </sheetView>
  </sheetViews>
  <sheetFormatPr defaultRowHeight="14.5"/>
  <cols>
    <col min="2" max="2" width="7.54296875" bestFit="1" customWidth="1"/>
    <col min="3" max="3" width="30.54296875" customWidth="1"/>
    <col min="4" max="4" width="16.81640625" bestFit="1" customWidth="1"/>
    <col min="5" max="5" width="12.54296875" bestFit="1" customWidth="1"/>
    <col min="6" max="6" width="16" bestFit="1" customWidth="1"/>
    <col min="7" max="7" width="20.453125" bestFit="1" customWidth="1"/>
    <col min="8" max="8" width="23.1796875" bestFit="1" customWidth="1"/>
    <col min="9" max="9" width="26.81640625" bestFit="1" customWidth="1"/>
    <col min="10" max="10" width="29.453125" bestFit="1" customWidth="1"/>
    <col min="11" max="11" width="32.1796875" bestFit="1" customWidth="1"/>
    <col min="14" max="14" width="24" hidden="1" customWidth="1"/>
    <col min="15" max="15" width="11.81640625" hidden="1" customWidth="1"/>
    <col min="16" max="16" width="9.54296875" hidden="1" customWidth="1"/>
    <col min="17" max="17" width="10.81640625" hidden="1" customWidth="1"/>
    <col min="18" max="18" width="11.26953125" hidden="1" customWidth="1"/>
    <col min="19" max="20" width="0" hidden="1" customWidth="1"/>
    <col min="21" max="21" width="24" hidden="1" customWidth="1"/>
    <col min="22" max="22" width="12.54296875" hidden="1" customWidth="1"/>
    <col min="23" max="23" width="0" hidden="1" customWidth="1"/>
  </cols>
  <sheetData>
    <row r="2" spans="3:22" ht="17.5">
      <c r="C2" s="473" t="s">
        <v>554</v>
      </c>
      <c r="D2" s="473"/>
      <c r="E2" s="473"/>
      <c r="F2" s="473"/>
      <c r="G2" s="473"/>
      <c r="H2" s="473"/>
      <c r="I2" s="473"/>
      <c r="J2" s="473"/>
      <c r="K2" s="473"/>
      <c r="L2" s="204"/>
    </row>
    <row r="4" spans="3:22">
      <c r="C4" s="79" t="s">
        <v>0</v>
      </c>
      <c r="D4" s="79"/>
      <c r="E4" s="80" t="s">
        <v>2</v>
      </c>
      <c r="F4" s="80" t="s">
        <v>3</v>
      </c>
      <c r="G4" s="80" t="s">
        <v>4</v>
      </c>
      <c r="H4" s="80" t="s">
        <v>5</v>
      </c>
      <c r="I4" s="80" t="s">
        <v>6</v>
      </c>
      <c r="J4" s="80" t="s">
        <v>169</v>
      </c>
      <c r="K4" s="80" t="s">
        <v>168</v>
      </c>
      <c r="L4" s="90"/>
      <c r="M4" s="90"/>
      <c r="N4" s="238"/>
      <c r="O4" s="238"/>
      <c r="P4" s="238"/>
      <c r="Q4" s="238"/>
      <c r="R4" s="238"/>
      <c r="S4" s="238"/>
      <c r="T4" s="238"/>
      <c r="U4" s="238"/>
      <c r="V4" s="238"/>
    </row>
    <row r="5" spans="3:22">
      <c r="C5" s="91" t="s">
        <v>362</v>
      </c>
      <c r="D5" s="91"/>
      <c r="E5" s="91"/>
      <c r="F5" s="91"/>
      <c r="G5" s="91"/>
      <c r="H5" s="91"/>
      <c r="I5" s="91"/>
      <c r="J5" s="91"/>
      <c r="K5" s="91"/>
      <c r="L5" s="90"/>
      <c r="M5" s="90"/>
      <c r="N5" s="506" t="s">
        <v>527</v>
      </c>
      <c r="O5" s="506"/>
      <c r="P5" s="506"/>
      <c r="Q5" s="506"/>
      <c r="R5" s="506"/>
      <c r="S5" s="238"/>
      <c r="T5" s="238"/>
      <c r="U5" s="506" t="s">
        <v>528</v>
      </c>
      <c r="V5" s="506"/>
    </row>
    <row r="6" spans="3:22">
      <c r="C6" s="91" t="s">
        <v>363</v>
      </c>
      <c r="D6" s="186"/>
      <c r="E6" s="91"/>
      <c r="F6" s="92">
        <f t="shared" ref="F6:K9" si="0">E15</f>
        <v>0</v>
      </c>
      <c r="G6" s="92">
        <f t="shared" si="0"/>
        <v>0</v>
      </c>
      <c r="H6" s="92">
        <f t="shared" si="0"/>
        <v>0</v>
      </c>
      <c r="I6" s="92">
        <f t="shared" si="0"/>
        <v>0</v>
      </c>
      <c r="J6" s="92">
        <f t="shared" si="0"/>
        <v>0</v>
      </c>
      <c r="K6" s="92">
        <f t="shared" si="0"/>
        <v>0</v>
      </c>
      <c r="L6" s="90"/>
      <c r="M6" s="90"/>
      <c r="N6" s="505" t="s">
        <v>529</v>
      </c>
      <c r="O6" s="505"/>
      <c r="P6" s="505"/>
      <c r="Q6" s="505"/>
      <c r="R6" s="505"/>
      <c r="S6" s="238"/>
      <c r="T6" s="238"/>
      <c r="U6" s="505" t="s">
        <v>529</v>
      </c>
      <c r="V6" s="505"/>
    </row>
    <row r="7" spans="3:22">
      <c r="C7" s="91" t="s">
        <v>444</v>
      </c>
      <c r="D7" s="186"/>
      <c r="E7" s="91"/>
      <c r="F7" s="92">
        <f t="shared" si="0"/>
        <v>1084766.6108053334</v>
      </c>
      <c r="G7" s="92">
        <f t="shared" si="0"/>
        <v>1281380.5590138</v>
      </c>
      <c r="H7" s="92">
        <f t="shared" si="0"/>
        <v>1494943.9855161002</v>
      </c>
      <c r="I7" s="92">
        <f t="shared" si="0"/>
        <v>1726660.3032710957</v>
      </c>
      <c r="J7" s="92">
        <f t="shared" si="0"/>
        <v>1977810.8928378008</v>
      </c>
      <c r="K7" s="92">
        <f t="shared" si="0"/>
        <v>2249759.890602998</v>
      </c>
      <c r="L7" s="90"/>
      <c r="M7" s="90"/>
      <c r="N7" s="239" t="s">
        <v>0</v>
      </c>
      <c r="O7" s="239" t="s">
        <v>163</v>
      </c>
      <c r="P7" s="239" t="s">
        <v>164</v>
      </c>
      <c r="Q7" s="239" t="s">
        <v>311</v>
      </c>
      <c r="R7" s="239" t="s">
        <v>312</v>
      </c>
      <c r="S7" s="238"/>
      <c r="T7" s="238"/>
      <c r="U7" s="327" t="s">
        <v>0</v>
      </c>
      <c r="V7" s="327" t="s">
        <v>483</v>
      </c>
    </row>
    <row r="8" spans="3:22">
      <c r="C8" s="91" t="s">
        <v>545</v>
      </c>
      <c r="D8" s="186"/>
      <c r="E8" s="91"/>
      <c r="F8" s="92">
        <f t="shared" si="0"/>
        <v>0</v>
      </c>
      <c r="G8" s="92">
        <f t="shared" si="0"/>
        <v>0</v>
      </c>
      <c r="H8" s="92">
        <f t="shared" si="0"/>
        <v>0</v>
      </c>
      <c r="I8" s="92">
        <f t="shared" si="0"/>
        <v>0</v>
      </c>
      <c r="J8" s="92">
        <f t="shared" si="0"/>
        <v>0</v>
      </c>
      <c r="K8" s="92">
        <f t="shared" si="0"/>
        <v>0</v>
      </c>
      <c r="L8" s="90"/>
      <c r="M8" s="90"/>
      <c r="N8" s="240" t="s">
        <v>364</v>
      </c>
      <c r="O8" s="240">
        <f>'13.Facility 2 Grain Processing'!C150</f>
        <v>9200</v>
      </c>
      <c r="P8" s="240">
        <f>'13.Facility 2 Grain Processing'!C151</f>
        <v>6500</v>
      </c>
      <c r="Q8" s="240">
        <f>'13.Facility 2 Grain Processing'!C152</f>
        <v>0</v>
      </c>
      <c r="R8" s="240" t="e">
        <f>'13.Facility 2 Grain Processing'!#REF!</f>
        <v>#REF!</v>
      </c>
      <c r="S8" s="238"/>
      <c r="T8" s="238"/>
      <c r="U8" s="240" t="s">
        <v>338</v>
      </c>
      <c r="V8" s="240">
        <f>'17.Facility 6 Horti Processing '!C163</f>
        <v>6000</v>
      </c>
    </row>
    <row r="9" spans="3:22">
      <c r="C9" s="91" t="str">
        <f>C18</f>
        <v xml:space="preserve">Horticulture Processing </v>
      </c>
      <c r="D9" s="91"/>
      <c r="E9" s="91"/>
      <c r="F9" s="92">
        <f>E18</f>
        <v>0</v>
      </c>
      <c r="G9" s="92">
        <f t="shared" si="0"/>
        <v>0</v>
      </c>
      <c r="H9" s="92">
        <f t="shared" si="0"/>
        <v>0</v>
      </c>
      <c r="I9" s="92">
        <f t="shared" si="0"/>
        <v>0</v>
      </c>
      <c r="J9" s="92">
        <f t="shared" si="0"/>
        <v>0</v>
      </c>
      <c r="K9" s="92">
        <f t="shared" si="0"/>
        <v>0</v>
      </c>
      <c r="L9" s="90"/>
      <c r="M9" s="90"/>
      <c r="N9" s="240" t="e">
        <f>'13.Facility 2 Grain Processing'!#REF!</f>
        <v>#REF!</v>
      </c>
      <c r="O9" s="240" t="e">
        <f>('13.Facility 2 Grain Processing'!#REF!*'13.Facility 2 Grain Processing'!#REF!/1000)*100</f>
        <v>#REF!</v>
      </c>
      <c r="P9" s="240" t="e">
        <f>O9</f>
        <v>#REF!</v>
      </c>
      <c r="Q9" s="240" t="e">
        <f t="shared" ref="Q9:R9" si="1">P9</f>
        <v>#REF!</v>
      </c>
      <c r="R9" s="240" t="e">
        <f t="shared" si="1"/>
        <v>#REF!</v>
      </c>
      <c r="S9" s="238"/>
      <c r="T9" s="238"/>
      <c r="U9" s="240" t="str">
        <f>'17.Facility 6 Horti Processing '!A164</f>
        <v>Other Consumbales</v>
      </c>
      <c r="V9" s="241">
        <f>'17.Facility 6 Horti Processing '!C164</f>
        <v>2000</v>
      </c>
    </row>
    <row r="10" spans="3:22">
      <c r="C10" s="91"/>
      <c r="D10" s="91"/>
      <c r="E10" s="91"/>
      <c r="F10" s="92"/>
      <c r="G10" s="92"/>
      <c r="H10" s="92"/>
      <c r="I10" s="92"/>
      <c r="J10" s="92"/>
      <c r="K10" s="92"/>
      <c r="L10" s="90"/>
      <c r="M10" s="90"/>
      <c r="N10" s="240" t="str">
        <f>'13.Facility 2 Grain Processing'!A153</f>
        <v xml:space="preserve">Daily Labour </v>
      </c>
      <c r="O10" s="242">
        <f>('13.Facility 2 Grain Processing'!B153*'13.Facility 2 Grain Processing'!C153)/('13.Facility 2 Grain Processing'!B5*'13.Facility 2 Grain Processing'!B6)</f>
        <v>0</v>
      </c>
      <c r="P10" s="242">
        <f>O10</f>
        <v>0</v>
      </c>
      <c r="Q10" s="242">
        <f t="shared" ref="Q10:R10" si="2">P10</f>
        <v>0</v>
      </c>
      <c r="R10" s="242">
        <f t="shared" si="2"/>
        <v>0</v>
      </c>
      <c r="S10" s="238"/>
      <c r="T10" s="238"/>
      <c r="U10" s="240" t="str">
        <f>'17.Facility 6 Horti Processing '!A165</f>
        <v xml:space="preserve">Daily Labour </v>
      </c>
      <c r="V10" s="241">
        <f>'17.Facility 6 Horti Processing '!B165*'17.Facility 6 Horti Processing '!C165/('17.Facility 6 Horti Processing '!B5*'17.Facility 6 Horti Processing '!B6)</f>
        <v>187.5</v>
      </c>
    </row>
    <row r="11" spans="3:22">
      <c r="C11" s="91"/>
      <c r="D11" s="91"/>
      <c r="E11" s="91"/>
      <c r="F11" s="92"/>
      <c r="G11" s="92"/>
      <c r="H11" s="92"/>
      <c r="I11" s="92"/>
      <c r="J11" s="92"/>
      <c r="K11" s="92"/>
      <c r="L11" s="90"/>
      <c r="M11" s="90"/>
      <c r="N11" s="240" t="str">
        <f>'13.Facility 2 Grain Processing'!A154</f>
        <v>Electricity Charges</v>
      </c>
      <c r="O11" s="242">
        <f>('13.Facility 2 Grain Processing'!B154*'13.Facility 2 Grain Processing'!C154)/('13.Facility 2 Grain Processing'!B5*'13.Facility 2 Grain Processing'!B6)</f>
        <v>0</v>
      </c>
      <c r="P11" s="242">
        <f>O11</f>
        <v>0</v>
      </c>
      <c r="Q11" s="242">
        <f t="shared" ref="Q11" si="3">P11</f>
        <v>0</v>
      </c>
      <c r="R11" s="242">
        <f t="shared" ref="R11" si="4">Q11</f>
        <v>0</v>
      </c>
      <c r="S11" s="238"/>
      <c r="T11" s="238"/>
      <c r="U11" s="240" t="str">
        <f>'17.Facility 6 Horti Processing '!A166</f>
        <v>Electricity Charges</v>
      </c>
      <c r="V11" s="240" t="e">
        <f>'17.Facility 6 Horti Processing '!B166*'17.Facility 6 Horti Processing '!C166/('17.Facility 6 Horti Processing '!B5*'17.Facility 6 Horti Processing '!B6)</f>
        <v>#REF!</v>
      </c>
    </row>
    <row r="12" spans="3:22">
      <c r="C12" s="91" t="s">
        <v>1</v>
      </c>
      <c r="D12" s="91"/>
      <c r="E12" s="92"/>
      <c r="F12" s="92">
        <f t="shared" ref="F12:K12" si="5">SUM(F6:F11)</f>
        <v>1084766.6108053334</v>
      </c>
      <c r="G12" s="92">
        <f t="shared" si="5"/>
        <v>1281380.5590138</v>
      </c>
      <c r="H12" s="92">
        <f t="shared" si="5"/>
        <v>1494943.9855161002</v>
      </c>
      <c r="I12" s="92">
        <f t="shared" si="5"/>
        <v>1726660.3032710957</v>
      </c>
      <c r="J12" s="92">
        <f t="shared" si="5"/>
        <v>1977810.8928378008</v>
      </c>
      <c r="K12" s="92">
        <f t="shared" si="5"/>
        <v>2249759.890602998</v>
      </c>
      <c r="L12" s="90"/>
      <c r="M12" s="90"/>
      <c r="N12" s="240" t="str">
        <f>'13.Facility 2 Grain Processing'!A155</f>
        <v>Loading/Unloading Charges</v>
      </c>
      <c r="O12" s="240">
        <f>'13.Facility 2 Grain Processing'!C155*2</f>
        <v>40</v>
      </c>
      <c r="P12" s="240">
        <f>O12</f>
        <v>40</v>
      </c>
      <c r="Q12" s="240">
        <f t="shared" ref="Q12:R13" si="6">P12</f>
        <v>40</v>
      </c>
      <c r="R12" s="240">
        <f t="shared" si="6"/>
        <v>40</v>
      </c>
      <c r="S12" s="238"/>
      <c r="T12" s="238"/>
      <c r="U12" s="240" t="str">
        <f>'17.Facility 6 Horti Processing '!A167</f>
        <v>Loading/Unloading Charges</v>
      </c>
      <c r="V12" s="240">
        <f>'17.Facility 6 Horti Processing '!C167</f>
        <v>10</v>
      </c>
    </row>
    <row r="13" spans="3:22">
      <c r="C13" s="91"/>
      <c r="D13" s="91"/>
      <c r="E13" s="91"/>
      <c r="F13" s="92"/>
      <c r="G13" s="92"/>
      <c r="H13" s="92"/>
      <c r="I13" s="92"/>
      <c r="J13" s="92"/>
      <c r="K13" s="92"/>
      <c r="L13" s="90"/>
      <c r="M13" s="90"/>
      <c r="N13" s="240" t="str">
        <f>'13.Facility 2 Grain Processing'!A157</f>
        <v>packaging Exp- Oil Packaging</v>
      </c>
      <c r="O13" s="240">
        <f>'13.Facility 2 Grain Processing'!C157*2</f>
        <v>80</v>
      </c>
      <c r="P13" s="240">
        <f>O13</f>
        <v>80</v>
      </c>
      <c r="Q13" s="240">
        <f t="shared" si="6"/>
        <v>80</v>
      </c>
      <c r="R13" s="240">
        <f t="shared" si="6"/>
        <v>80</v>
      </c>
      <c r="S13" s="238"/>
      <c r="T13" s="238"/>
      <c r="U13" s="240" t="str">
        <f>'17.Facility 6 Horti Processing '!A168</f>
        <v>packaging Exp</v>
      </c>
      <c r="V13" s="10">
        <f>'17.Facility 6 Horti Processing '!C168*100</f>
        <v>200</v>
      </c>
    </row>
    <row r="14" spans="3:22">
      <c r="C14" s="93" t="s">
        <v>340</v>
      </c>
      <c r="D14" s="91"/>
      <c r="E14" s="91"/>
      <c r="F14" s="92"/>
      <c r="G14" s="92"/>
      <c r="H14" s="92"/>
      <c r="I14" s="92"/>
      <c r="J14" s="92"/>
      <c r="K14" s="92"/>
      <c r="L14" s="90"/>
      <c r="M14" s="90"/>
      <c r="N14" s="240"/>
      <c r="O14" s="10"/>
      <c r="P14" s="10"/>
      <c r="Q14" s="10"/>
      <c r="R14" s="10"/>
      <c r="S14" s="238"/>
      <c r="T14" s="238"/>
      <c r="U14" s="10"/>
      <c r="V14" s="10"/>
    </row>
    <row r="15" spans="3:22">
      <c r="C15" s="91" t="str">
        <f>C6</f>
        <v>Agri Input</v>
      </c>
      <c r="D15" s="265">
        <v>0.05</v>
      </c>
      <c r="E15" s="92">
        <f>SUM('16.Facility 5 Agri Input'!D198:D259)*$D$15</f>
        <v>0</v>
      </c>
      <c r="F15" s="92">
        <f>SUM('16.Facility 5 Agri Input'!E198:E259)*$D$15</f>
        <v>0</v>
      </c>
      <c r="G15" s="92">
        <f>SUM('16.Facility 5 Agri Input'!F198:F259)*$D$15</f>
        <v>0</v>
      </c>
      <c r="H15" s="92">
        <f>SUM('16.Facility 5 Agri Input'!G198:G259)*$D$15</f>
        <v>0</v>
      </c>
      <c r="I15" s="92">
        <f>SUM('16.Facility 5 Agri Input'!H198:H259)*$D$15</f>
        <v>0</v>
      </c>
      <c r="J15" s="92">
        <f>SUM('16.Facility 5 Agri Input'!I198:I259)*$D$15</f>
        <v>0</v>
      </c>
      <c r="K15" s="92">
        <f>SUM('16.Facility 5 Agri Input'!J198:J259)*$D$15</f>
        <v>0</v>
      </c>
      <c r="L15" s="90"/>
      <c r="M15" s="90"/>
      <c r="N15" s="10"/>
      <c r="O15" s="10"/>
      <c r="P15" s="10"/>
      <c r="Q15" s="10"/>
      <c r="R15" s="10"/>
      <c r="U15" s="10"/>
      <c r="V15" s="10"/>
    </row>
    <row r="16" spans="3:22">
      <c r="C16" s="91" t="str">
        <f>C7</f>
        <v>Trading</v>
      </c>
      <c r="D16" s="265">
        <v>0.02</v>
      </c>
      <c r="E16" s="92">
        <f>SUM('12.Facility 1 - Trading'!D189:D199)*$D$16</f>
        <v>1084766.6108053334</v>
      </c>
      <c r="F16" s="92">
        <f>SUM('12.Facility 1 - Trading'!E189:E199)*$D$16</f>
        <v>1281380.5590138</v>
      </c>
      <c r="G16" s="92">
        <f>SUM('12.Facility 1 - Trading'!F189:F199)*$D$16</f>
        <v>1494943.9855161002</v>
      </c>
      <c r="H16" s="92">
        <f>SUM('12.Facility 1 - Trading'!G189:G199)*$D$16</f>
        <v>1726660.3032710957</v>
      </c>
      <c r="I16" s="92">
        <f>SUM('12.Facility 1 - Trading'!H189:H199)*$D$16</f>
        <v>1977810.8928378008</v>
      </c>
      <c r="J16" s="92">
        <f>SUM('12.Facility 1 - Trading'!I189:I199)*$D$16</f>
        <v>2249759.890602998</v>
      </c>
      <c r="K16" s="92">
        <f>SUM('12.Facility 1 - Trading'!J189:J199)*$D$16</f>
        <v>2543959.2609126219</v>
      </c>
      <c r="L16" s="90"/>
      <c r="M16" s="90"/>
      <c r="N16" s="239" t="s">
        <v>365</v>
      </c>
      <c r="O16" s="243" t="e">
        <f>SUM(O8:O13)</f>
        <v>#REF!</v>
      </c>
      <c r="P16" s="243" t="e">
        <f>SUM(P8:P13)</f>
        <v>#REF!</v>
      </c>
      <c r="Q16" s="243" t="e">
        <f>SUM(Q8:Q13)</f>
        <v>#REF!</v>
      </c>
      <c r="R16" s="243" t="e">
        <f>SUM(R8:R13)</f>
        <v>#REF!</v>
      </c>
      <c r="U16" s="239" t="s">
        <v>1</v>
      </c>
      <c r="V16" s="243" t="e">
        <f>SUM(V8:V15)</f>
        <v>#REF!</v>
      </c>
    </row>
    <row r="17" spans="1:18">
      <c r="C17" s="91" t="str">
        <f>C8</f>
        <v xml:space="preserve">Grain Processing </v>
      </c>
      <c r="D17" s="265">
        <v>0.05</v>
      </c>
      <c r="E17" s="92">
        <f>SUM('13.Facility 2 Grain Processing'!D150:D163)*$D$17</f>
        <v>0</v>
      </c>
      <c r="F17" s="92">
        <f>SUM('13.Facility 2 Grain Processing'!E150:E163)*$D$17</f>
        <v>0</v>
      </c>
      <c r="G17" s="92">
        <f>SUM('13.Facility 2 Grain Processing'!F150:F163)*$D$17</f>
        <v>0</v>
      </c>
      <c r="H17" s="92">
        <f>SUM('13.Facility 2 Grain Processing'!G150:G163)*$D$17</f>
        <v>0</v>
      </c>
      <c r="I17" s="92">
        <f>SUM('13.Facility 2 Grain Processing'!H150:H163)*$D$17</f>
        <v>0</v>
      </c>
      <c r="J17" s="92">
        <f>SUM('13.Facility 2 Grain Processing'!I150:I163)*$D$17</f>
        <v>0</v>
      </c>
      <c r="K17" s="92">
        <f>SUM('13.Facility 2 Grain Processing'!J150:J163)*$D$17</f>
        <v>0</v>
      </c>
      <c r="L17" s="90"/>
      <c r="M17" s="90"/>
    </row>
    <row r="18" spans="1:18">
      <c r="C18" s="91" t="s">
        <v>514</v>
      </c>
      <c r="D18" s="265">
        <v>0.05</v>
      </c>
      <c r="E18" s="92">
        <f>SUM('17.Facility 6 Horti Processing '!D163:D173)*$D$18</f>
        <v>0</v>
      </c>
      <c r="F18" s="92">
        <f>SUM('17.Facility 6 Horti Processing '!E163:E173)*$D$18</f>
        <v>0</v>
      </c>
      <c r="G18" s="92">
        <f>SUM('17.Facility 6 Horti Processing '!F163:F173)*$D$18</f>
        <v>0</v>
      </c>
      <c r="H18" s="92">
        <f>SUM('17.Facility 6 Horti Processing '!G163:G173)*$D$18</f>
        <v>0</v>
      </c>
      <c r="I18" s="92">
        <f>SUM('17.Facility 6 Horti Processing '!H163:H173)*$D$18</f>
        <v>0</v>
      </c>
      <c r="J18" s="92">
        <f>SUM('17.Facility 6 Horti Processing '!I163:I173)*$D$18</f>
        <v>0</v>
      </c>
      <c r="K18" s="92">
        <f>SUM('17.Facility 6 Horti Processing '!J163:J173)*$D$18</f>
        <v>0</v>
      </c>
      <c r="L18" s="90"/>
      <c r="M18" s="90"/>
    </row>
    <row r="19" spans="1:18">
      <c r="C19" s="91"/>
      <c r="D19" s="236"/>
      <c r="E19" s="92"/>
      <c r="F19" s="92"/>
      <c r="G19" s="92"/>
      <c r="H19" s="92"/>
      <c r="I19" s="92"/>
      <c r="J19" s="92"/>
      <c r="K19" s="92"/>
      <c r="L19" s="90"/>
      <c r="M19" s="90"/>
    </row>
    <row r="20" spans="1:18">
      <c r="C20" s="91"/>
      <c r="D20" s="91"/>
      <c r="E20" s="91"/>
      <c r="F20" s="92"/>
      <c r="G20" s="92"/>
      <c r="H20" s="92"/>
      <c r="I20" s="92"/>
      <c r="J20" s="92"/>
      <c r="K20" s="92"/>
      <c r="L20" s="90"/>
      <c r="M20" s="90"/>
    </row>
    <row r="21" spans="1:18">
      <c r="C21" s="91" t="s">
        <v>1</v>
      </c>
      <c r="D21" s="91"/>
      <c r="E21" s="197">
        <f t="shared" ref="E21:K21" si="7">SUM(E15:E20)</f>
        <v>1084766.6108053334</v>
      </c>
      <c r="F21" s="197">
        <f t="shared" si="7"/>
        <v>1281380.5590138</v>
      </c>
      <c r="G21" s="197">
        <f t="shared" si="7"/>
        <v>1494943.9855161002</v>
      </c>
      <c r="H21" s="197">
        <f t="shared" si="7"/>
        <v>1726660.3032710957</v>
      </c>
      <c r="I21" s="197">
        <f t="shared" si="7"/>
        <v>1977810.8928378008</v>
      </c>
      <c r="J21" s="197">
        <f t="shared" si="7"/>
        <v>2249759.890602998</v>
      </c>
      <c r="K21" s="197">
        <f t="shared" si="7"/>
        <v>2543959.2609126219</v>
      </c>
      <c r="L21" s="90"/>
      <c r="M21" s="90"/>
    </row>
    <row r="22" spans="1:18">
      <c r="C22" s="182"/>
      <c r="D22" s="182"/>
      <c r="E22" s="375"/>
      <c r="F22" s="293"/>
      <c r="G22" s="293"/>
      <c r="H22" s="293"/>
      <c r="I22" s="293"/>
      <c r="J22" s="293"/>
      <c r="K22" s="293"/>
      <c r="L22" s="90"/>
      <c r="M22" s="90"/>
    </row>
    <row r="23" spans="1:18">
      <c r="C23" s="90"/>
      <c r="D23" s="90"/>
      <c r="E23" s="90"/>
      <c r="F23" s="371"/>
      <c r="G23" s="371"/>
      <c r="H23" s="371"/>
      <c r="I23" s="371"/>
      <c r="J23" s="371"/>
      <c r="K23" s="371"/>
      <c r="L23" s="90"/>
      <c r="M23" s="90"/>
    </row>
    <row r="24" spans="1:18" ht="41.15" customHeight="1">
      <c r="A24" s="507" t="s">
        <v>409</v>
      </c>
      <c r="B24" s="507"/>
      <c r="C24" s="507"/>
      <c r="D24" s="507"/>
      <c r="E24" s="507"/>
      <c r="F24" s="507"/>
      <c r="G24" s="507"/>
      <c r="H24" s="507"/>
      <c r="I24" s="507"/>
      <c r="J24" s="507"/>
      <c r="K24" s="507"/>
      <c r="L24" s="326"/>
      <c r="M24" s="326"/>
      <c r="N24" s="326"/>
      <c r="O24" s="275"/>
      <c r="P24" s="275"/>
      <c r="Q24" s="275"/>
      <c r="R24" s="275"/>
    </row>
    <row r="25" spans="1:18">
      <c r="A25" t="s">
        <v>530</v>
      </c>
    </row>
    <row r="26" spans="1:18">
      <c r="A26">
        <v>1</v>
      </c>
      <c r="B26" t="s">
        <v>533</v>
      </c>
    </row>
    <row r="29" spans="1:18" ht="17.5">
      <c r="B29" s="473" t="s">
        <v>555</v>
      </c>
      <c r="C29" s="473"/>
      <c r="D29" s="473"/>
      <c r="E29" s="473"/>
      <c r="F29" s="473"/>
      <c r="G29" s="473"/>
      <c r="H29" s="473"/>
      <c r="I29" s="473"/>
      <c r="J29" s="473"/>
      <c r="K29" s="473"/>
    </row>
    <row r="31" spans="1:18">
      <c r="B31" s="498" t="s">
        <v>146</v>
      </c>
      <c r="C31" s="498" t="s">
        <v>0</v>
      </c>
      <c r="D31" s="501" t="s">
        <v>361</v>
      </c>
      <c r="E31" s="503" t="s">
        <v>158</v>
      </c>
      <c r="F31" s="504"/>
      <c r="G31" s="504"/>
      <c r="H31" s="504"/>
      <c r="I31" s="504"/>
      <c r="J31" s="504"/>
      <c r="K31" s="504"/>
    </row>
    <row r="32" spans="1:18">
      <c r="B32" s="498"/>
      <c r="C32" s="498"/>
      <c r="D32" s="502"/>
      <c r="E32" s="209" t="s">
        <v>2</v>
      </c>
      <c r="F32" s="209" t="s">
        <v>3</v>
      </c>
      <c r="G32" s="209" t="s">
        <v>4</v>
      </c>
      <c r="H32" s="209" t="s">
        <v>5</v>
      </c>
      <c r="I32" s="209" t="s">
        <v>6</v>
      </c>
      <c r="J32" s="209" t="s">
        <v>169</v>
      </c>
      <c r="K32" s="209" t="s">
        <v>168</v>
      </c>
    </row>
    <row r="33" spans="2:11">
      <c r="B33" s="212"/>
      <c r="C33" s="213"/>
      <c r="D33" s="213"/>
      <c r="E33" s="214"/>
      <c r="F33" s="214"/>
      <c r="G33" s="214"/>
      <c r="H33" s="214"/>
      <c r="I33" s="214"/>
      <c r="J33" s="214"/>
      <c r="K33" s="214"/>
    </row>
    <row r="34" spans="2:11">
      <c r="B34" s="215" t="s">
        <v>173</v>
      </c>
      <c r="C34" s="216" t="s">
        <v>341</v>
      </c>
      <c r="D34" s="226"/>
      <c r="E34" s="217"/>
      <c r="F34" s="217"/>
      <c r="G34" s="217"/>
      <c r="H34" s="217"/>
      <c r="I34" s="217"/>
      <c r="J34" s="217"/>
      <c r="K34" s="217"/>
    </row>
    <row r="35" spans="2:11">
      <c r="B35" s="261">
        <v>1</v>
      </c>
      <c r="C35" s="218" t="s">
        <v>363</v>
      </c>
      <c r="D35" s="226">
        <v>14</v>
      </c>
      <c r="E35" s="217">
        <f>('16.Facility 5 Agri Input'!D191/365)*$D$35</f>
        <v>0</v>
      </c>
      <c r="F35" s="217">
        <f>('16.Facility 5 Agri Input'!E191/365)*$D$35</f>
        <v>0</v>
      </c>
      <c r="G35" s="217">
        <f>('16.Facility 5 Agri Input'!F191/365)*$D$35</f>
        <v>0</v>
      </c>
      <c r="H35" s="217">
        <f>('16.Facility 5 Agri Input'!G191/365)*$D$35</f>
        <v>0</v>
      </c>
      <c r="I35" s="217">
        <f>('16.Facility 5 Agri Input'!H191/365)*$D$35</f>
        <v>0</v>
      </c>
      <c r="J35" s="217">
        <f>('16.Facility 5 Agri Input'!I191/365)*$D$35</f>
        <v>0</v>
      </c>
      <c r="K35" s="217">
        <f>('16.Facility 5 Agri Input'!J191/365)*$D$35</f>
        <v>0</v>
      </c>
    </row>
    <row r="36" spans="2:11">
      <c r="B36" s="261">
        <v>2</v>
      </c>
      <c r="C36" s="218" t="s">
        <v>358</v>
      </c>
      <c r="D36" s="226">
        <v>14</v>
      </c>
      <c r="E36" s="217">
        <f>('15. Facility 4 Custom Hiring'!E37/365)*$D$36</f>
        <v>0</v>
      </c>
      <c r="F36" s="217">
        <f>('15. Facility 4 Custom Hiring'!F37/365)*$D$36</f>
        <v>0</v>
      </c>
      <c r="G36" s="217">
        <f>('15. Facility 4 Custom Hiring'!G37/365)*$D$36</f>
        <v>0</v>
      </c>
      <c r="H36" s="217">
        <f>('15. Facility 4 Custom Hiring'!H37/365)*$D$36</f>
        <v>0</v>
      </c>
      <c r="I36" s="217">
        <f>('15. Facility 4 Custom Hiring'!I37/365)*$D$36</f>
        <v>0</v>
      </c>
      <c r="J36" s="217">
        <f>('15. Facility 4 Custom Hiring'!J37/365)*$D$36</f>
        <v>0</v>
      </c>
      <c r="K36" s="217">
        <f>('15. Facility 4 Custom Hiring'!K37/365)*$D$36</f>
        <v>0</v>
      </c>
    </row>
    <row r="37" spans="2:11">
      <c r="B37" s="261">
        <v>3</v>
      </c>
      <c r="C37" s="218" t="s">
        <v>444</v>
      </c>
      <c r="D37" s="397">
        <v>14</v>
      </c>
      <c r="E37" s="217">
        <f>('12.Facility 1 - Trading'!D185/365)*$D$37</f>
        <v>2243946.3506849315</v>
      </c>
      <c r="F37" s="217">
        <f>('12.Facility 1 - Trading'!E185/365)*$D$37</f>
        <v>2696616.7667465755</v>
      </c>
      <c r="G37" s="217">
        <f>('12.Facility 1 - Trading'!F185/365)*$D$37</f>
        <v>3146723.0736626713</v>
      </c>
      <c r="H37" s="217">
        <f>('12.Facility 1 - Trading'!G185/365)*$D$37</f>
        <v>3635098.469353511</v>
      </c>
      <c r="I37" s="217">
        <f>('12.Facility 1 - Trading'!H185/365)*$D$37</f>
        <v>4164444.5969292782</v>
      </c>
      <c r="J37" s="217">
        <f>('12.Facility 1 - Trading'!I185/365)*$D$37</f>
        <v>4737637.5910892375</v>
      </c>
      <c r="K37" s="217">
        <f>('12.Facility 1 - Trading'!J185/365)*$D$37</f>
        <v>5357738.7731728684</v>
      </c>
    </row>
    <row r="38" spans="2:11">
      <c r="B38" s="261">
        <v>4</v>
      </c>
      <c r="C38" s="218" t="s">
        <v>141</v>
      </c>
      <c r="D38" s="226">
        <v>15</v>
      </c>
      <c r="E38" s="217">
        <f>('13.Facility 2 Grain Processing'!D146/365)*$D$38</f>
        <v>0</v>
      </c>
      <c r="F38" s="217">
        <f>('13.Facility 2 Grain Processing'!E146/365)*$D$38</f>
        <v>0</v>
      </c>
      <c r="G38" s="217">
        <f>('13.Facility 2 Grain Processing'!F146/365)*$D$38</f>
        <v>0</v>
      </c>
      <c r="H38" s="217">
        <f>('13.Facility 2 Grain Processing'!G146/365)*$D$38</f>
        <v>0</v>
      </c>
      <c r="I38" s="217">
        <f>('13.Facility 2 Grain Processing'!H146/365)*$D$38</f>
        <v>0</v>
      </c>
      <c r="J38" s="217">
        <f>('13.Facility 2 Grain Processing'!I146/365)*$D$38</f>
        <v>0</v>
      </c>
      <c r="K38" s="217">
        <f>('13.Facility 2 Grain Processing'!J146/365)*$D$38</f>
        <v>0</v>
      </c>
    </row>
    <row r="39" spans="2:11">
      <c r="B39" s="261">
        <v>5</v>
      </c>
      <c r="C39" s="218" t="s">
        <v>296</v>
      </c>
      <c r="D39" s="226">
        <v>7</v>
      </c>
      <c r="E39" s="217">
        <f>('14. Facility 3 Warehouse'!D23/365)*$D$39</f>
        <v>44186.301369863009</v>
      </c>
      <c r="F39" s="217">
        <f>('14. Facility 3 Warehouse'!E23/365)*$D$39</f>
        <v>49295.342465753434</v>
      </c>
      <c r="G39" s="217">
        <f>('14. Facility 3 Warehouse'!F23/365)*$D$39</f>
        <v>54804.821917808229</v>
      </c>
      <c r="H39" s="217">
        <f>('14. Facility 3 Warehouse'!G23/365)*$D$39</f>
        <v>60742.010958904139</v>
      </c>
      <c r="I39" s="217">
        <f>('14. Facility 3 Warehouse'!H23/365)*$D$39</f>
        <v>67135.906849315114</v>
      </c>
      <c r="J39" s="217">
        <f>('14. Facility 3 Warehouse'!I23/365)*$D$39</f>
        <v>70492.70219178086</v>
      </c>
      <c r="K39" s="217">
        <f>('14. Facility 3 Warehouse'!J23/365)*$D$39</f>
        <v>74017.337301369917</v>
      </c>
    </row>
    <row r="40" spans="2:11">
      <c r="B40" s="261">
        <v>6</v>
      </c>
      <c r="C40" s="218" t="s">
        <v>526</v>
      </c>
      <c r="D40" s="226">
        <v>14</v>
      </c>
      <c r="E40" s="217">
        <f>('17.Facility 6 Horti Processing '!D159/365)*$D$40</f>
        <v>0</v>
      </c>
      <c r="F40" s="217">
        <f>('17.Facility 6 Horti Processing '!E159/365)*$D$40</f>
        <v>0</v>
      </c>
      <c r="G40" s="217">
        <f>('17.Facility 6 Horti Processing '!F159/365)*$D$40</f>
        <v>0</v>
      </c>
      <c r="H40" s="217">
        <f>('17.Facility 6 Horti Processing '!G159/365)*$D$40</f>
        <v>0</v>
      </c>
      <c r="I40" s="217">
        <f>('17.Facility 6 Horti Processing '!H159/365)*$D$40</f>
        <v>0</v>
      </c>
      <c r="J40" s="217">
        <f>('17.Facility 6 Horti Processing '!I159/365)*$D$40</f>
        <v>0</v>
      </c>
      <c r="K40" s="217">
        <f>('17.Facility 6 Horti Processing '!J159/365)*$D$40</f>
        <v>0</v>
      </c>
    </row>
    <row r="41" spans="2:11">
      <c r="B41" s="261"/>
      <c r="C41" s="218"/>
      <c r="D41" s="226"/>
      <c r="E41" s="217"/>
      <c r="F41" s="217"/>
      <c r="G41" s="217"/>
      <c r="H41" s="217"/>
      <c r="I41" s="217"/>
      <c r="J41" s="217"/>
      <c r="K41" s="217"/>
    </row>
    <row r="42" spans="2:11">
      <c r="B42" s="250"/>
      <c r="C42" s="216" t="s">
        <v>171</v>
      </c>
      <c r="D42" s="226"/>
      <c r="E42" s="217">
        <f>SUM(E35:E41)</f>
        <v>2288132.6520547946</v>
      </c>
      <c r="F42" s="217">
        <f t="shared" ref="F42:K42" si="8">SUM(F35:F41)</f>
        <v>2745912.1092123287</v>
      </c>
      <c r="G42" s="217">
        <f t="shared" si="8"/>
        <v>3201527.8955804794</v>
      </c>
      <c r="H42" s="217">
        <f t="shared" si="8"/>
        <v>3695840.4803124149</v>
      </c>
      <c r="I42" s="217">
        <f t="shared" si="8"/>
        <v>4231580.5037785936</v>
      </c>
      <c r="J42" s="217">
        <f t="shared" si="8"/>
        <v>4808130.2932810187</v>
      </c>
      <c r="K42" s="217">
        <f t="shared" si="8"/>
        <v>5431756.1104742382</v>
      </c>
    </row>
    <row r="43" spans="2:11">
      <c r="B43" s="215" t="s">
        <v>174</v>
      </c>
      <c r="C43" s="216" t="s">
        <v>340</v>
      </c>
      <c r="D43" s="226"/>
      <c r="E43" s="217">
        <f>'5.Closing Stock &amp; W Capital'!E21</f>
        <v>1084766.6108053334</v>
      </c>
      <c r="F43" s="217">
        <f>'5.Closing Stock &amp; W Capital'!F21</f>
        <v>1281380.5590138</v>
      </c>
      <c r="G43" s="217">
        <f>'5.Closing Stock &amp; W Capital'!G21</f>
        <v>1494943.9855161002</v>
      </c>
      <c r="H43" s="217">
        <f>'5.Closing Stock &amp; W Capital'!H21</f>
        <v>1726660.3032710957</v>
      </c>
      <c r="I43" s="217">
        <f>'5.Closing Stock &amp; W Capital'!I21</f>
        <v>1977810.8928378008</v>
      </c>
      <c r="J43" s="217">
        <f>'5.Closing Stock &amp; W Capital'!J21</f>
        <v>2249759.890602998</v>
      </c>
      <c r="K43" s="217">
        <f>'5.Closing Stock &amp; W Capital'!K21</f>
        <v>2543959.2609126219</v>
      </c>
    </row>
    <row r="44" spans="2:11">
      <c r="B44" s="215"/>
      <c r="C44" s="218"/>
      <c r="D44" s="226"/>
      <c r="E44" s="217"/>
      <c r="F44" s="217"/>
      <c r="G44" s="217"/>
      <c r="H44" s="217"/>
      <c r="I44" s="217"/>
      <c r="J44" s="217"/>
      <c r="K44" s="217"/>
    </row>
    <row r="45" spans="2:11">
      <c r="B45" s="499" t="s">
        <v>1</v>
      </c>
      <c r="C45" s="500"/>
      <c r="D45" s="235"/>
      <c r="E45" s="219">
        <f>SUM(E42:E43)</f>
        <v>3372899.2628601277</v>
      </c>
      <c r="F45" s="219">
        <f t="shared" ref="F45:K45" si="9">SUM(F42:F43)</f>
        <v>4027292.6682261284</v>
      </c>
      <c r="G45" s="219">
        <f t="shared" si="9"/>
        <v>4696471.8810965791</v>
      </c>
      <c r="H45" s="219">
        <f t="shared" si="9"/>
        <v>5422500.7835835107</v>
      </c>
      <c r="I45" s="219">
        <f t="shared" si="9"/>
        <v>6209391.3966163946</v>
      </c>
      <c r="J45" s="219">
        <f t="shared" si="9"/>
        <v>7057890.1838840172</v>
      </c>
      <c r="K45" s="219">
        <f t="shared" si="9"/>
        <v>7975715.3713868596</v>
      </c>
    </row>
    <row r="46" spans="2:11">
      <c r="B46" s="215"/>
      <c r="C46" s="216"/>
      <c r="D46" s="226"/>
      <c r="E46" s="217"/>
      <c r="F46" s="217"/>
      <c r="G46" s="217"/>
      <c r="H46" s="217"/>
      <c r="I46" s="217"/>
      <c r="J46" s="217"/>
      <c r="K46" s="217"/>
    </row>
    <row r="47" spans="2:11" ht="34.5" customHeight="1">
      <c r="B47" s="215" t="s">
        <v>175</v>
      </c>
      <c r="C47" s="218" t="s">
        <v>342</v>
      </c>
      <c r="D47" s="226"/>
      <c r="E47" s="217"/>
      <c r="F47" s="217"/>
      <c r="G47" s="217"/>
      <c r="H47" s="217"/>
      <c r="I47" s="217"/>
      <c r="J47" s="217"/>
      <c r="K47" s="217"/>
    </row>
    <row r="48" spans="2:11">
      <c r="B48" s="261">
        <v>1</v>
      </c>
      <c r="C48" s="218" t="str">
        <f t="shared" ref="C48:C53" si="10">C35</f>
        <v>Agri Input</v>
      </c>
      <c r="D48" s="226">
        <v>7</v>
      </c>
      <c r="E48" s="217">
        <f>(SUM('16.Facility 5 Agri Input'!D198:D259)/365)*$D$48</f>
        <v>0</v>
      </c>
      <c r="F48" s="217">
        <f>(SUM('16.Facility 5 Agri Input'!E198:E259)/365)*$D$48</f>
        <v>0</v>
      </c>
      <c r="G48" s="217">
        <f>(SUM('16.Facility 5 Agri Input'!F198:F259)/365)*$D$48</f>
        <v>0</v>
      </c>
      <c r="H48" s="217">
        <f>(SUM('16.Facility 5 Agri Input'!G198:G259)/365)*$D$48</f>
        <v>0</v>
      </c>
      <c r="I48" s="217">
        <f>(SUM('16.Facility 5 Agri Input'!H198:H259)/365)*$D$48</f>
        <v>0</v>
      </c>
      <c r="J48" s="217">
        <f>(SUM('16.Facility 5 Agri Input'!I198:I259)/365)*$D$48</f>
        <v>0</v>
      </c>
      <c r="K48" s="217">
        <f>(SUM('16.Facility 5 Agri Input'!J198:J259)/365)*$D$48</f>
        <v>0</v>
      </c>
    </row>
    <row r="49" spans="1:12">
      <c r="B49" s="261">
        <v>2</v>
      </c>
      <c r="C49" s="218" t="str">
        <f t="shared" si="10"/>
        <v>Custom Hiring</v>
      </c>
      <c r="D49" s="226">
        <v>7</v>
      </c>
      <c r="E49" s="217">
        <f>('15. Facility 4 Custom Hiring'!E47/365)*$D$50</f>
        <v>0</v>
      </c>
      <c r="F49" s="217">
        <f>('15. Facility 4 Custom Hiring'!F47/365)*$D$50</f>
        <v>0</v>
      </c>
      <c r="G49" s="217">
        <f>('15. Facility 4 Custom Hiring'!G47/365)*$D$50</f>
        <v>0</v>
      </c>
      <c r="H49" s="217">
        <f>('15. Facility 4 Custom Hiring'!H47/365)*$D$50</f>
        <v>0</v>
      </c>
      <c r="I49" s="217">
        <f>('15. Facility 4 Custom Hiring'!I47/365)*$D$50</f>
        <v>0</v>
      </c>
      <c r="J49" s="217">
        <f>('15. Facility 4 Custom Hiring'!J47/365)*$D$50</f>
        <v>0</v>
      </c>
      <c r="K49" s="217">
        <f>('15. Facility 4 Custom Hiring'!K47/365)*$D$50</f>
        <v>0</v>
      </c>
    </row>
    <row r="50" spans="1:12">
      <c r="B50" s="261">
        <v>3</v>
      </c>
      <c r="C50" s="218" t="str">
        <f t="shared" si="10"/>
        <v>Trading</v>
      </c>
      <c r="D50" s="226">
        <v>7</v>
      </c>
      <c r="E50" s="217">
        <f>(SUM('12.Facility 1 - Trading'!D189:D199)/365)*$D$50</f>
        <v>1040187.16104621</v>
      </c>
      <c r="F50" s="217">
        <f>(SUM('12.Facility 1 - Trading'!E189:E199)/365)*$D$50</f>
        <v>1228721.0839858355</v>
      </c>
      <c r="G50" s="217">
        <f>(SUM('12.Facility 1 - Trading'!F189:F199)/365)*$D$50</f>
        <v>1433507.9313168086</v>
      </c>
      <c r="H50" s="217">
        <f>(SUM('12.Facility 1 - Trading'!G189:G199)/365)*$D$50</f>
        <v>1655701.6606709138</v>
      </c>
      <c r="I50" s="217">
        <f>(SUM('12.Facility 1 - Trading'!H189:H199)/365)*$D$50</f>
        <v>1896530.9931321377</v>
      </c>
      <c r="J50" s="217">
        <f>(SUM('12.Facility 1 - Trading'!I189:I199)/365)*$D$50</f>
        <v>2157304.0046878061</v>
      </c>
      <c r="K50" s="217">
        <f>(SUM('12.Facility 1 - Trading'!J189:J199)/365)*$D$50</f>
        <v>2439412.9899162124</v>
      </c>
    </row>
    <row r="51" spans="1:12">
      <c r="B51" s="261">
        <v>4</v>
      </c>
      <c r="C51" s="218" t="str">
        <f t="shared" si="10"/>
        <v>Dal Mill</v>
      </c>
      <c r="D51" s="226">
        <v>7</v>
      </c>
      <c r="E51" s="217">
        <f>(SUM('13.Facility 2 Grain Processing'!D150:D163)/365)*$D$51</f>
        <v>0</v>
      </c>
      <c r="F51" s="217">
        <f>(SUM('13.Facility 2 Grain Processing'!E150:E163)/365)*$D$51</f>
        <v>0</v>
      </c>
      <c r="G51" s="217">
        <f>(SUM('13.Facility 2 Grain Processing'!F150:F163)/365)*$D$51</f>
        <v>0</v>
      </c>
      <c r="H51" s="217">
        <f>(SUM('13.Facility 2 Grain Processing'!G150:G163)/365)*$D$51</f>
        <v>0</v>
      </c>
      <c r="I51" s="217">
        <f>(SUM('13.Facility 2 Grain Processing'!H150:H163)/365)*$D$51</f>
        <v>0</v>
      </c>
      <c r="J51" s="217">
        <f>(SUM('13.Facility 2 Grain Processing'!I150:I163)/365)*$D$51</f>
        <v>0</v>
      </c>
      <c r="K51" s="217">
        <f>(SUM('13.Facility 2 Grain Processing'!J150:J163)/365)*$D$51</f>
        <v>0</v>
      </c>
    </row>
    <row r="52" spans="1:12">
      <c r="B52" s="261">
        <v>5</v>
      </c>
      <c r="C52" s="218" t="str">
        <f t="shared" si="10"/>
        <v>Warehouse</v>
      </c>
      <c r="D52" s="226">
        <v>7</v>
      </c>
      <c r="E52" s="217">
        <f>('14. Facility 3 Warehouse'!D34/365)*$D$52</f>
        <v>12028.493150684932</v>
      </c>
      <c r="F52" s="217">
        <f>('14. Facility 3 Warehouse'!E34/365)*$D$52</f>
        <v>12774.904109589041</v>
      </c>
      <c r="G52" s="217">
        <f>('14. Facility 3 Warehouse'!F34/365)*$D$52</f>
        <v>13565.884931506849</v>
      </c>
      <c r="H52" s="217">
        <f>('14. Facility 3 Warehouse'!G34/365)*$D$52</f>
        <v>14404.02657534247</v>
      </c>
      <c r="I52" s="217">
        <f>('14. Facility 3 Warehouse'!H34/365)*$D$52</f>
        <v>15292.067671232882</v>
      </c>
      <c r="J52" s="217">
        <f>('14. Facility 3 Warehouse'!I34/365)*$D$52</f>
        <v>16056.671054794528</v>
      </c>
      <c r="K52" s="217">
        <f>('14. Facility 3 Warehouse'!J34/365)*$D$52</f>
        <v>16859.504607534254</v>
      </c>
    </row>
    <row r="53" spans="1:12">
      <c r="B53" s="261">
        <v>6</v>
      </c>
      <c r="C53" s="218" t="str">
        <f t="shared" si="10"/>
        <v>Processing Unit - Horti Commodity</v>
      </c>
      <c r="D53" s="226">
        <v>7</v>
      </c>
      <c r="E53" s="217">
        <f>(SUM('17.Facility 6 Horti Processing '!D163:D173)/365)*$D$53</f>
        <v>0</v>
      </c>
      <c r="F53" s="217">
        <f>(SUM('17.Facility 6 Horti Processing '!E163:E173)/365)*$D$53</f>
        <v>0</v>
      </c>
      <c r="G53" s="217">
        <f>(SUM('17.Facility 6 Horti Processing '!F163:F173)/365)*$D$53</f>
        <v>0</v>
      </c>
      <c r="H53" s="217">
        <f>(SUM('17.Facility 6 Horti Processing '!G163:G173)/365)*$D$53</f>
        <v>0</v>
      </c>
      <c r="I53" s="217">
        <f>(SUM('17.Facility 6 Horti Processing '!H163:H173)/365)*$D$53</f>
        <v>0</v>
      </c>
      <c r="J53" s="217">
        <f>(SUM('17.Facility 6 Horti Processing '!I163:I173)/365)*$D$53</f>
        <v>0</v>
      </c>
      <c r="K53" s="217">
        <f>(SUM('17.Facility 6 Horti Processing '!J163:J173)/365)*$D$53</f>
        <v>0</v>
      </c>
    </row>
    <row r="54" spans="1:12">
      <c r="B54" s="261"/>
      <c r="C54" s="218"/>
      <c r="D54" s="226"/>
      <c r="E54" s="217"/>
      <c r="F54" s="217"/>
      <c r="G54" s="217"/>
      <c r="H54" s="217"/>
      <c r="I54" s="217"/>
      <c r="J54" s="217"/>
      <c r="K54" s="217"/>
    </row>
    <row r="55" spans="1:12">
      <c r="B55" s="210"/>
      <c r="C55" s="216" t="s">
        <v>1</v>
      </c>
      <c r="D55" s="226"/>
      <c r="E55" s="219">
        <f>SUM(E48:E54)</f>
        <v>1052215.654196895</v>
      </c>
      <c r="F55" s="219">
        <f t="shared" ref="F55:K55" si="11">SUM(F48:F54)</f>
        <v>1241495.9880954246</v>
      </c>
      <c r="G55" s="219">
        <f t="shared" si="11"/>
        <v>1447073.8162483154</v>
      </c>
      <c r="H55" s="219">
        <f t="shared" si="11"/>
        <v>1670105.6872462563</v>
      </c>
      <c r="I55" s="219">
        <f t="shared" si="11"/>
        <v>1911823.0608033706</v>
      </c>
      <c r="J55" s="219">
        <f t="shared" si="11"/>
        <v>2173360.6757426006</v>
      </c>
      <c r="K55" s="219">
        <f t="shared" si="11"/>
        <v>2456272.4945237464</v>
      </c>
    </row>
    <row r="56" spans="1:12">
      <c r="B56" s="215" t="s">
        <v>176</v>
      </c>
      <c r="C56" s="216" t="s">
        <v>157</v>
      </c>
      <c r="D56" s="226"/>
      <c r="E56" s="219">
        <f>E45-E55</f>
        <v>2320683.608663233</v>
      </c>
      <c r="F56" s="219">
        <f t="shared" ref="F56:K56" si="12">F45-F55</f>
        <v>2785796.6801307038</v>
      </c>
      <c r="G56" s="219">
        <f t="shared" si="12"/>
        <v>3249398.0648482637</v>
      </c>
      <c r="H56" s="219">
        <f t="shared" si="12"/>
        <v>3752395.0963372542</v>
      </c>
      <c r="I56" s="219">
        <f t="shared" si="12"/>
        <v>4297568.3358130241</v>
      </c>
      <c r="J56" s="219">
        <f t="shared" si="12"/>
        <v>4884529.5081414171</v>
      </c>
      <c r="K56" s="219">
        <f t="shared" si="12"/>
        <v>5519442.8768631127</v>
      </c>
    </row>
    <row r="57" spans="1:12">
      <c r="B57" s="215"/>
      <c r="C57" s="216" t="s">
        <v>135</v>
      </c>
      <c r="D57" s="270">
        <v>0.25</v>
      </c>
      <c r="E57" s="219">
        <f>E56*$D$57</f>
        <v>580170.90216580825</v>
      </c>
      <c r="F57" s="219"/>
      <c r="G57" s="219"/>
      <c r="H57" s="219"/>
      <c r="I57" s="219"/>
      <c r="J57" s="219"/>
      <c r="K57" s="219"/>
    </row>
    <row r="59" spans="1:12">
      <c r="E59" s="29"/>
    </row>
    <row r="60" spans="1:12" ht="37" customHeight="1">
      <c r="A60" s="496" t="s">
        <v>405</v>
      </c>
      <c r="B60" s="497"/>
      <c r="C60" s="497"/>
      <c r="D60" s="497"/>
      <c r="E60" s="497"/>
      <c r="F60" s="497"/>
      <c r="G60" s="497"/>
      <c r="H60" s="497"/>
      <c r="I60" s="497"/>
      <c r="J60" s="497"/>
      <c r="K60" s="497"/>
      <c r="L60" s="497"/>
    </row>
    <row r="61" spans="1:12">
      <c r="A61" t="s">
        <v>534</v>
      </c>
    </row>
    <row r="62" spans="1:12">
      <c r="A62">
        <v>1</v>
      </c>
      <c r="B62" t="s">
        <v>535</v>
      </c>
    </row>
    <row r="63" spans="1:12">
      <c r="A63">
        <v>2</v>
      </c>
      <c r="B63" t="s">
        <v>536</v>
      </c>
    </row>
    <row r="64" spans="1:12">
      <c r="A64">
        <v>3</v>
      </c>
      <c r="B64" t="s">
        <v>537</v>
      </c>
    </row>
    <row r="67" spans="5:11">
      <c r="E67" s="29"/>
      <c r="F67" s="66"/>
      <c r="G67" s="66"/>
      <c r="H67" s="66"/>
      <c r="I67" s="66"/>
      <c r="J67" s="66"/>
      <c r="K67" s="66"/>
    </row>
    <row r="68" spans="5:11">
      <c r="E68" s="66"/>
      <c r="G68" s="66"/>
      <c r="H68" s="66"/>
      <c r="I68" s="66"/>
      <c r="J68" s="66"/>
      <c r="K68" s="66"/>
    </row>
    <row r="69" spans="5:11">
      <c r="E69" s="66"/>
      <c r="I69" s="66"/>
      <c r="J69" s="66"/>
      <c r="K69" s="66"/>
    </row>
    <row r="70" spans="5:11">
      <c r="E70" s="29"/>
    </row>
    <row r="71" spans="5:11">
      <c r="E71" s="29"/>
      <c r="F71" s="29"/>
      <c r="G71" s="29"/>
      <c r="H71" s="29"/>
    </row>
  </sheetData>
  <mergeCells count="13">
    <mergeCell ref="N6:R6"/>
    <mergeCell ref="U5:V5"/>
    <mergeCell ref="U6:V6"/>
    <mergeCell ref="C2:K2"/>
    <mergeCell ref="A24:K24"/>
    <mergeCell ref="N5:R5"/>
    <mergeCell ref="A60:L60"/>
    <mergeCell ref="B29:K29"/>
    <mergeCell ref="B31:B32"/>
    <mergeCell ref="C31:C32"/>
    <mergeCell ref="B45:C45"/>
    <mergeCell ref="D31:D32"/>
    <mergeCell ref="E31:K31"/>
  </mergeCells>
  <pageMargins left="0.7" right="0.7" top="0.75" bottom="0.75" header="0.3" footer="0.3"/>
  <pageSetup paperSize="9" scale="37"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58"/>
  <sheetViews>
    <sheetView view="pageBreakPreview" topLeftCell="A56" zoomScale="80" zoomScaleSheetLayoutView="80" workbookViewId="0">
      <selection activeCell="A56" sqref="A56:I56"/>
    </sheetView>
  </sheetViews>
  <sheetFormatPr defaultRowHeight="14.5"/>
  <cols>
    <col min="1" max="1" width="40.54296875" bestFit="1" customWidth="1"/>
    <col min="2" max="5" width="13.453125" bestFit="1" customWidth="1"/>
    <col min="6" max="8" width="13.1796875" bestFit="1" customWidth="1"/>
    <col min="9" max="9" width="8.54296875" customWidth="1"/>
    <col min="10" max="15" width="11.7265625" bestFit="1" customWidth="1"/>
    <col min="16" max="16" width="12.26953125" bestFit="1" customWidth="1"/>
  </cols>
  <sheetData>
    <row r="2" spans="1:16" ht="17.5">
      <c r="A2" s="475" t="s">
        <v>556</v>
      </c>
      <c r="B2" s="475"/>
      <c r="C2" s="475"/>
      <c r="D2" s="475"/>
      <c r="E2" s="475"/>
      <c r="F2" s="475"/>
      <c r="G2" s="475"/>
      <c r="H2" s="475"/>
    </row>
    <row r="4" spans="1:16">
      <c r="B4" s="4"/>
      <c r="C4" s="4"/>
      <c r="D4" s="4"/>
      <c r="E4" s="4"/>
      <c r="F4" s="4"/>
    </row>
    <row r="5" spans="1:16">
      <c r="A5" s="144" t="s">
        <v>0</v>
      </c>
      <c r="B5" s="116" t="s">
        <v>2</v>
      </c>
      <c r="C5" s="116" t="s">
        <v>3</v>
      </c>
      <c r="D5" s="116" t="s">
        <v>4</v>
      </c>
      <c r="E5" s="116" t="s">
        <v>5</v>
      </c>
      <c r="F5" s="116" t="s">
        <v>6</v>
      </c>
      <c r="G5" s="116" t="s">
        <v>169</v>
      </c>
      <c r="H5" s="116" t="s">
        <v>168</v>
      </c>
    </row>
    <row r="6" spans="1:16">
      <c r="A6" s="93" t="s">
        <v>127</v>
      </c>
      <c r="B6" s="91"/>
      <c r="C6" s="91"/>
      <c r="D6" s="91"/>
      <c r="E6" s="91"/>
      <c r="F6" s="91"/>
      <c r="G6" s="91"/>
      <c r="H6" s="91"/>
    </row>
    <row r="7" spans="1:16">
      <c r="A7" s="91"/>
      <c r="B7" s="91"/>
      <c r="C7" s="91"/>
      <c r="D7" s="91"/>
      <c r="E7" s="91"/>
      <c r="F7" s="91"/>
      <c r="G7" s="91"/>
      <c r="H7" s="91"/>
    </row>
    <row r="8" spans="1:16">
      <c r="A8" s="91" t="s">
        <v>768</v>
      </c>
      <c r="B8" s="92">
        <f>'12.Facility 1 - Trading'!D185</f>
        <v>58502886.999999993</v>
      </c>
      <c r="C8" s="92">
        <f>'12.Facility 1 - Trading'!E185</f>
        <v>70304651.418750003</v>
      </c>
      <c r="D8" s="92">
        <f>'12.Facility 1 - Trading'!F185</f>
        <v>82039565.849062502</v>
      </c>
      <c r="E8" s="92">
        <f>'12.Facility 1 - Trading'!G185</f>
        <v>94772210.093859389</v>
      </c>
      <c r="F8" s="92">
        <f>'12.Facility 1 - Trading'!H185</f>
        <v>108573019.84851332</v>
      </c>
      <c r="G8" s="92">
        <f>'12.Facility 1 - Trading'!I185</f>
        <v>123516980.05339798</v>
      </c>
      <c r="H8" s="92">
        <f>'12.Facility 1 - Trading'!J185</f>
        <v>139683903.72914979</v>
      </c>
      <c r="J8" s="66"/>
      <c r="K8" s="66"/>
      <c r="L8" s="66"/>
      <c r="M8" s="66"/>
      <c r="N8" s="66"/>
      <c r="O8" s="66"/>
      <c r="P8" s="66"/>
    </row>
    <row r="9" spans="1:16">
      <c r="A9" s="91" t="s">
        <v>756</v>
      </c>
      <c r="B9" s="92">
        <f>'13.Facility 2 Grain Processing'!D146</f>
        <v>0</v>
      </c>
      <c r="C9" s="92">
        <f>'13.Facility 2 Grain Processing'!E146</f>
        <v>0</v>
      </c>
      <c r="D9" s="92">
        <f>'13.Facility 2 Grain Processing'!F146</f>
        <v>0</v>
      </c>
      <c r="E9" s="92">
        <f>'13.Facility 2 Grain Processing'!G146</f>
        <v>0</v>
      </c>
      <c r="F9" s="92">
        <f>'13.Facility 2 Grain Processing'!H146</f>
        <v>0</v>
      </c>
      <c r="G9" s="92">
        <f>'13.Facility 2 Grain Processing'!I146</f>
        <v>0</v>
      </c>
      <c r="H9" s="92">
        <f>'13.Facility 2 Grain Processing'!J146</f>
        <v>0</v>
      </c>
      <c r="J9" s="66"/>
      <c r="K9" s="66"/>
      <c r="L9" s="66"/>
      <c r="M9" s="66"/>
      <c r="N9" s="66"/>
      <c r="O9" s="66"/>
    </row>
    <row r="10" spans="1:16">
      <c r="A10" s="91" t="s">
        <v>769</v>
      </c>
      <c r="B10" s="92">
        <f>'14. Facility 3 Warehouse'!D23</f>
        <v>2304000</v>
      </c>
      <c r="C10" s="92">
        <f>'14. Facility 3 Warehouse'!E23</f>
        <v>2570400.0000000005</v>
      </c>
      <c r="D10" s="92">
        <f>'14. Facility 3 Warehouse'!F23</f>
        <v>2857680.0000000005</v>
      </c>
      <c r="E10" s="92">
        <f>'14. Facility 3 Warehouse'!G23</f>
        <v>3167262.0000000014</v>
      </c>
      <c r="F10" s="92">
        <f>'14. Facility 3 Warehouse'!H23</f>
        <v>3500658.0000000019</v>
      </c>
      <c r="G10" s="92">
        <f>'14. Facility 3 Warehouse'!I23</f>
        <v>3675690.9000000022</v>
      </c>
      <c r="H10" s="92">
        <f>'14. Facility 3 Warehouse'!J23</f>
        <v>3859475.4450000026</v>
      </c>
      <c r="J10" s="66"/>
      <c r="K10" s="66"/>
      <c r="L10" s="66"/>
      <c r="M10" s="66"/>
      <c r="N10" s="66"/>
      <c r="O10" s="66"/>
    </row>
    <row r="11" spans="1:16">
      <c r="A11" s="91" t="s">
        <v>504</v>
      </c>
      <c r="B11" s="92">
        <f>'15. Facility 4 Custom Hiring'!E37</f>
        <v>0</v>
      </c>
      <c r="C11" s="92">
        <f>'15. Facility 4 Custom Hiring'!F37</f>
        <v>0</v>
      </c>
      <c r="D11" s="92">
        <f>'15. Facility 4 Custom Hiring'!G37</f>
        <v>0</v>
      </c>
      <c r="E11" s="92">
        <f>'15. Facility 4 Custom Hiring'!H37</f>
        <v>0</v>
      </c>
      <c r="F11" s="92">
        <f>'15. Facility 4 Custom Hiring'!I37</f>
        <v>0</v>
      </c>
      <c r="G11" s="92">
        <f>'15. Facility 4 Custom Hiring'!J37</f>
        <v>0</v>
      </c>
      <c r="H11" s="92">
        <f>'15. Facility 4 Custom Hiring'!K37</f>
        <v>0</v>
      </c>
      <c r="J11" s="66"/>
      <c r="K11" s="66"/>
      <c r="L11" s="66"/>
      <c r="M11" s="66"/>
      <c r="N11" s="66"/>
      <c r="O11" s="66"/>
    </row>
    <row r="12" spans="1:16">
      <c r="A12" s="91" t="s">
        <v>500</v>
      </c>
      <c r="B12" s="92">
        <f>'16.Facility 5 Agri Input'!D191</f>
        <v>0</v>
      </c>
      <c r="C12" s="92">
        <f>'16.Facility 5 Agri Input'!E191</f>
        <v>0</v>
      </c>
      <c r="D12" s="92">
        <f>'16.Facility 5 Agri Input'!F191</f>
        <v>0</v>
      </c>
      <c r="E12" s="92">
        <f>'16.Facility 5 Agri Input'!G191</f>
        <v>0</v>
      </c>
      <c r="F12" s="92">
        <f>'16.Facility 5 Agri Input'!H191</f>
        <v>0</v>
      </c>
      <c r="G12" s="92">
        <f>'16.Facility 5 Agri Input'!I191</f>
        <v>0</v>
      </c>
      <c r="H12" s="92">
        <f>'16.Facility 5 Agri Input'!J191</f>
        <v>0</v>
      </c>
      <c r="J12" s="66"/>
      <c r="K12" s="66"/>
      <c r="L12" s="66"/>
      <c r="M12" s="66"/>
      <c r="N12" s="66"/>
      <c r="O12" s="66"/>
    </row>
    <row r="13" spans="1:16">
      <c r="A13" s="91" t="s">
        <v>525</v>
      </c>
      <c r="B13" s="92">
        <f>'17.Facility 6 Horti Processing '!D159</f>
        <v>0</v>
      </c>
      <c r="C13" s="92">
        <f>'17.Facility 6 Horti Processing '!E159</f>
        <v>0</v>
      </c>
      <c r="D13" s="92">
        <f>'17.Facility 6 Horti Processing '!F159</f>
        <v>0</v>
      </c>
      <c r="E13" s="92">
        <f>'17.Facility 6 Horti Processing '!G159</f>
        <v>0</v>
      </c>
      <c r="F13" s="92">
        <f>'17.Facility 6 Horti Processing '!H159</f>
        <v>0</v>
      </c>
      <c r="G13" s="92">
        <f>'17.Facility 6 Horti Processing '!I159</f>
        <v>0</v>
      </c>
      <c r="H13" s="92">
        <f>'17.Facility 6 Horti Processing '!J159</f>
        <v>0</v>
      </c>
      <c r="J13" s="66"/>
      <c r="K13" s="66"/>
      <c r="L13" s="66"/>
      <c r="M13" s="66"/>
      <c r="N13" s="66"/>
      <c r="O13" s="66"/>
    </row>
    <row r="14" spans="1:16">
      <c r="A14" s="91"/>
      <c r="B14" s="92"/>
      <c r="C14" s="92"/>
      <c r="D14" s="92"/>
      <c r="E14" s="92"/>
      <c r="F14" s="92"/>
      <c r="G14" s="92"/>
      <c r="H14" s="92"/>
      <c r="J14" s="66"/>
    </row>
    <row r="15" spans="1:16">
      <c r="A15" s="93" t="s">
        <v>144</v>
      </c>
      <c r="B15" s="111">
        <f>SUM(B8:B14)</f>
        <v>60806886.999999993</v>
      </c>
      <c r="C15" s="111">
        <f t="shared" ref="C15:H15" si="0">SUM(C8:C14)</f>
        <v>72875051.418750003</v>
      </c>
      <c r="D15" s="111">
        <f t="shared" si="0"/>
        <v>84897245.849062502</v>
      </c>
      <c r="E15" s="111">
        <f t="shared" si="0"/>
        <v>97939472.093859389</v>
      </c>
      <c r="F15" s="111">
        <f t="shared" si="0"/>
        <v>112073677.84851332</v>
      </c>
      <c r="G15" s="111">
        <f t="shared" si="0"/>
        <v>127192670.95339799</v>
      </c>
      <c r="H15" s="111">
        <f t="shared" si="0"/>
        <v>143543379.17414978</v>
      </c>
    </row>
    <row r="16" spans="1:16">
      <c r="A16" s="91"/>
      <c r="B16" s="92"/>
      <c r="C16" s="92"/>
      <c r="D16" s="92"/>
      <c r="E16" s="92"/>
      <c r="F16" s="92"/>
      <c r="G16" s="92"/>
      <c r="H16" s="92"/>
    </row>
    <row r="17" spans="1:10">
      <c r="A17" s="93" t="s">
        <v>307</v>
      </c>
      <c r="B17" s="92"/>
      <c r="C17" s="92"/>
      <c r="D17" s="92"/>
      <c r="E17" s="92"/>
      <c r="F17" s="92"/>
      <c r="G17" s="92"/>
      <c r="H17" s="92"/>
    </row>
    <row r="18" spans="1:10">
      <c r="A18" s="91" t="str">
        <f t="shared" ref="A18:A23" si="1">A8</f>
        <v>Activity 1 - Cleaning &amp; Grading</v>
      </c>
      <c r="B18" s="92">
        <f>'12.Facility 1 - Trading'!D203</f>
        <v>53153563.92946133</v>
      </c>
      <c r="C18" s="92">
        <f>'12.Facility 1 - Trading'!E203</f>
        <v>63872414.002481535</v>
      </c>
      <c r="D18" s="92">
        <f>'12.Facility 1 - Trading'!F203</f>
        <v>74533635.849302709</v>
      </c>
      <c r="E18" s="92">
        <f>'12.Facility 1 - Trading'!G203</f>
        <v>86101298.845799789</v>
      </c>
      <c r="F18" s="92">
        <f>'12.Facility 1 - Trading'!H203</f>
        <v>98639394.052323326</v>
      </c>
      <c r="G18" s="92">
        <f>'12.Facility 1 - Trading'!I203</f>
        <v>112216045.53238472</v>
      </c>
      <c r="H18" s="92">
        <f>'12.Facility 1 - Trading'!J203</f>
        <v>126903763.67532144</v>
      </c>
    </row>
    <row r="19" spans="1:10">
      <c r="A19" s="91" t="str">
        <f t="shared" si="1"/>
        <v>Activity 2 - Cold Press Oil</v>
      </c>
      <c r="B19" s="92">
        <f>'13.Facility 2 Grain Processing'!D167</f>
        <v>0</v>
      </c>
      <c r="C19" s="92">
        <f>'13.Facility 2 Grain Processing'!E167</f>
        <v>0</v>
      </c>
      <c r="D19" s="92">
        <f>'13.Facility 2 Grain Processing'!F167</f>
        <v>0</v>
      </c>
      <c r="E19" s="92">
        <f>'13.Facility 2 Grain Processing'!G167</f>
        <v>0</v>
      </c>
      <c r="F19" s="92">
        <f>'13.Facility 2 Grain Processing'!H167</f>
        <v>0</v>
      </c>
      <c r="G19" s="92">
        <f>'13.Facility 2 Grain Processing'!I167</f>
        <v>0</v>
      </c>
      <c r="H19" s="92">
        <f>'13.Facility 2 Grain Processing'!J167</f>
        <v>0</v>
      </c>
    </row>
    <row r="20" spans="1:10">
      <c r="A20" s="91" t="str">
        <f t="shared" si="1"/>
        <v>Activity 2 - Warehouse</v>
      </c>
      <c r="B20" s="92">
        <f>'14. Facility 3 Warehouse'!D34</f>
        <v>627200</v>
      </c>
      <c r="C20" s="92">
        <f>'14. Facility 3 Warehouse'!E34</f>
        <v>666120</v>
      </c>
      <c r="D20" s="92">
        <f>'14. Facility 3 Warehouse'!F34</f>
        <v>707364</v>
      </c>
      <c r="E20" s="92">
        <f>'14. Facility 3 Warehouse'!G34</f>
        <v>751067.10000000021</v>
      </c>
      <c r="F20" s="92">
        <f>'14. Facility 3 Warehouse'!H34</f>
        <v>797372.10000000021</v>
      </c>
      <c r="G20" s="92">
        <f>'14. Facility 3 Warehouse'!I34</f>
        <v>837240.70500000031</v>
      </c>
      <c r="H20" s="92">
        <f>'14. Facility 3 Warehouse'!J34</f>
        <v>879102.74025000038</v>
      </c>
    </row>
    <row r="21" spans="1:10">
      <c r="A21" s="91" t="str">
        <f t="shared" si="1"/>
        <v xml:space="preserve">Faclitiy 4 - Custom Hiring </v>
      </c>
      <c r="B21" s="92">
        <f>'15. Facility 4 Custom Hiring'!E47</f>
        <v>0</v>
      </c>
      <c r="C21" s="92">
        <f>'15. Facility 4 Custom Hiring'!F47</f>
        <v>0</v>
      </c>
      <c r="D21" s="92">
        <f>'15. Facility 4 Custom Hiring'!G47</f>
        <v>0</v>
      </c>
      <c r="E21" s="92">
        <f>'15. Facility 4 Custom Hiring'!H47</f>
        <v>0</v>
      </c>
      <c r="F21" s="92">
        <f>'15. Facility 4 Custom Hiring'!I47</f>
        <v>0</v>
      </c>
      <c r="G21" s="92">
        <f>'15. Facility 4 Custom Hiring'!J47</f>
        <v>0</v>
      </c>
      <c r="H21" s="92">
        <f>'15. Facility 4 Custom Hiring'!K47</f>
        <v>0</v>
      </c>
    </row>
    <row r="22" spans="1:10">
      <c r="A22" s="91" t="str">
        <f t="shared" si="1"/>
        <v>Faclitiy 5 - Agri Input Centre</v>
      </c>
      <c r="B22" s="92">
        <f>'16.Facility 5 Agri Input'!D263</f>
        <v>0</v>
      </c>
      <c r="C22" s="92">
        <f>'16.Facility 5 Agri Input'!E263</f>
        <v>0</v>
      </c>
      <c r="D22" s="92">
        <f>'16.Facility 5 Agri Input'!F263</f>
        <v>0</v>
      </c>
      <c r="E22" s="92">
        <f>'16.Facility 5 Agri Input'!G263</f>
        <v>0</v>
      </c>
      <c r="F22" s="92">
        <f>'16.Facility 5 Agri Input'!H263</f>
        <v>0</v>
      </c>
      <c r="G22" s="92">
        <f>'16.Facility 5 Agri Input'!I263</f>
        <v>0</v>
      </c>
      <c r="H22" s="92">
        <f>'16.Facility 5 Agri Input'!J263</f>
        <v>0</v>
      </c>
    </row>
    <row r="23" spans="1:10">
      <c r="A23" s="91" t="str">
        <f t="shared" si="1"/>
        <v>Facility 6 - Processing Unit - Horti Commodity</v>
      </c>
      <c r="B23" s="92">
        <f>'17.Facility 6 Horti Processing '!D177</f>
        <v>0</v>
      </c>
      <c r="C23" s="92">
        <f>'17.Facility 6 Horti Processing '!E177</f>
        <v>0</v>
      </c>
      <c r="D23" s="92">
        <f>'17.Facility 6 Horti Processing '!F177</f>
        <v>0</v>
      </c>
      <c r="E23" s="92">
        <f>'17.Facility 6 Horti Processing '!G177</f>
        <v>0</v>
      </c>
      <c r="F23" s="92">
        <f>'17.Facility 6 Horti Processing '!H177</f>
        <v>0</v>
      </c>
      <c r="G23" s="92">
        <f>'17.Facility 6 Horti Processing '!I177</f>
        <v>0</v>
      </c>
      <c r="H23" s="92">
        <f>'17.Facility 6 Horti Processing '!J177</f>
        <v>0</v>
      </c>
    </row>
    <row r="24" spans="1:10">
      <c r="A24" s="91"/>
      <c r="B24" s="92"/>
      <c r="C24" s="92"/>
      <c r="D24" s="92"/>
      <c r="E24" s="92"/>
      <c r="F24" s="92"/>
      <c r="G24" s="92"/>
      <c r="H24" s="92"/>
    </row>
    <row r="25" spans="1:10">
      <c r="A25" s="93" t="s">
        <v>314</v>
      </c>
      <c r="B25" s="111">
        <f>SUM(B18:B24)</f>
        <v>53780763.92946133</v>
      </c>
      <c r="C25" s="111">
        <f t="shared" ref="C25:H25" si="2">SUM(C18:C24)</f>
        <v>64538534.002481535</v>
      </c>
      <c r="D25" s="111">
        <f t="shared" si="2"/>
        <v>75240999.849302709</v>
      </c>
      <c r="E25" s="111">
        <f t="shared" si="2"/>
        <v>86852365.945799783</v>
      </c>
      <c r="F25" s="111">
        <f t="shared" si="2"/>
        <v>99436766.152323321</v>
      </c>
      <c r="G25" s="111">
        <f t="shared" si="2"/>
        <v>113053286.23738472</v>
      </c>
      <c r="H25" s="111">
        <f t="shared" si="2"/>
        <v>127782866.41557145</v>
      </c>
      <c r="J25" s="29"/>
    </row>
    <row r="26" spans="1:10">
      <c r="A26" s="91"/>
      <c r="B26" s="92"/>
      <c r="C26" s="92"/>
      <c r="D26" s="92"/>
      <c r="E26" s="92"/>
      <c r="F26" s="92"/>
      <c r="G26" s="92"/>
      <c r="H26" s="92"/>
    </row>
    <row r="27" spans="1:10">
      <c r="A27" s="93" t="s">
        <v>306</v>
      </c>
      <c r="B27" s="92"/>
      <c r="C27" s="92"/>
      <c r="D27" s="92"/>
      <c r="E27" s="92"/>
      <c r="F27" s="92"/>
      <c r="G27" s="92"/>
      <c r="H27" s="92"/>
    </row>
    <row r="28" spans="1:10">
      <c r="A28" s="91" t="str">
        <f t="shared" ref="A28:A33" si="3">A18</f>
        <v>Activity 1 - Cleaning &amp; Grading</v>
      </c>
      <c r="B28" s="92">
        <f>'12.Facility 1 - Trading'!D209</f>
        <v>144000</v>
      </c>
      <c r="C28" s="92">
        <f>'12.Facility 1 - Trading'!E209</f>
        <v>151200</v>
      </c>
      <c r="D28" s="92">
        <f>'12.Facility 1 - Trading'!F209</f>
        <v>158760</v>
      </c>
      <c r="E28" s="92">
        <f>'12.Facility 1 - Trading'!G209</f>
        <v>166698.00000000003</v>
      </c>
      <c r="F28" s="92">
        <f>'12.Facility 1 - Trading'!H209</f>
        <v>175032.90000000002</v>
      </c>
      <c r="G28" s="92">
        <f>'12.Facility 1 - Trading'!I209</f>
        <v>183784.54500000004</v>
      </c>
      <c r="H28" s="92">
        <f>'12.Facility 1 - Trading'!J209</f>
        <v>192973.77225000007</v>
      </c>
    </row>
    <row r="29" spans="1:10">
      <c r="A29" s="91" t="str">
        <f t="shared" si="3"/>
        <v>Activity 2 - Cold Press Oil</v>
      </c>
      <c r="B29" s="92">
        <f>'13.Facility 2 Grain Processing'!D174</f>
        <v>0</v>
      </c>
      <c r="C29" s="92">
        <f>'13.Facility 2 Grain Processing'!E174</f>
        <v>0</v>
      </c>
      <c r="D29" s="92">
        <f>'13.Facility 2 Grain Processing'!F174</f>
        <v>0</v>
      </c>
      <c r="E29" s="92">
        <f>'13.Facility 2 Grain Processing'!G174</f>
        <v>0</v>
      </c>
      <c r="F29" s="92">
        <f>'13.Facility 2 Grain Processing'!H174</f>
        <v>0</v>
      </c>
      <c r="G29" s="92">
        <f>'13.Facility 2 Grain Processing'!I174</f>
        <v>0</v>
      </c>
      <c r="H29" s="92">
        <f>'13.Facility 2 Grain Processing'!J174</f>
        <v>0</v>
      </c>
    </row>
    <row r="30" spans="1:10">
      <c r="A30" s="91" t="str">
        <f t="shared" si="3"/>
        <v>Activity 2 - Warehouse</v>
      </c>
      <c r="B30" s="92">
        <f>'14. Facility 3 Warehouse'!D42</f>
        <v>144000</v>
      </c>
      <c r="C30" s="92">
        <f>'14. Facility 3 Warehouse'!E42</f>
        <v>151200</v>
      </c>
      <c r="D30" s="92">
        <f>'14. Facility 3 Warehouse'!F42</f>
        <v>158760</v>
      </c>
      <c r="E30" s="92">
        <f>'14. Facility 3 Warehouse'!G42</f>
        <v>166698.00000000003</v>
      </c>
      <c r="F30" s="92">
        <f>'14. Facility 3 Warehouse'!H42</f>
        <v>175032.90000000002</v>
      </c>
      <c r="G30" s="92">
        <f>'14. Facility 3 Warehouse'!I42</f>
        <v>183784.54500000004</v>
      </c>
      <c r="H30" s="92">
        <f>'14. Facility 3 Warehouse'!J42</f>
        <v>192973.77225000004</v>
      </c>
    </row>
    <row r="31" spans="1:10">
      <c r="A31" s="91" t="str">
        <f t="shared" si="3"/>
        <v xml:space="preserve">Faclitiy 4 - Custom Hiring </v>
      </c>
      <c r="B31" s="92">
        <f>'15. Facility 4 Custom Hiring'!E52</f>
        <v>0</v>
      </c>
      <c r="C31" s="92">
        <f>'15. Facility 4 Custom Hiring'!F52</f>
        <v>0</v>
      </c>
      <c r="D31" s="92">
        <f>'15. Facility 4 Custom Hiring'!G52</f>
        <v>0</v>
      </c>
      <c r="E31" s="92">
        <f>'15. Facility 4 Custom Hiring'!H52</f>
        <v>0</v>
      </c>
      <c r="F31" s="92">
        <f>'15. Facility 4 Custom Hiring'!I52</f>
        <v>0</v>
      </c>
      <c r="G31" s="92">
        <f>'15. Facility 4 Custom Hiring'!J52</f>
        <v>0</v>
      </c>
      <c r="H31" s="92">
        <f>'15. Facility 4 Custom Hiring'!K52</f>
        <v>0</v>
      </c>
    </row>
    <row r="32" spans="1:10">
      <c r="A32" s="91" t="str">
        <f t="shared" si="3"/>
        <v>Faclitiy 5 - Agri Input Centre</v>
      </c>
      <c r="B32" s="92">
        <f>'16.Facility 5 Agri Input'!D274</f>
        <v>0</v>
      </c>
      <c r="C32" s="92">
        <f>'16.Facility 5 Agri Input'!E274</f>
        <v>0</v>
      </c>
      <c r="D32" s="92">
        <f>'16.Facility 5 Agri Input'!F274</f>
        <v>0</v>
      </c>
      <c r="E32" s="92">
        <f>'16.Facility 5 Agri Input'!G274</f>
        <v>0</v>
      </c>
      <c r="F32" s="92">
        <f>'16.Facility 5 Agri Input'!H274</f>
        <v>0</v>
      </c>
      <c r="G32" s="92">
        <f>'16.Facility 5 Agri Input'!I274</f>
        <v>0</v>
      </c>
      <c r="H32" s="92">
        <f>'16.Facility 5 Agri Input'!J274</f>
        <v>0</v>
      </c>
    </row>
    <row r="33" spans="1:10">
      <c r="A33" s="91" t="str">
        <f t="shared" si="3"/>
        <v>Facility 6 - Processing Unit - Horti Commodity</v>
      </c>
      <c r="B33" s="92">
        <f>'17.Facility 6 Horti Processing '!D185</f>
        <v>0</v>
      </c>
      <c r="C33" s="92">
        <f>'17.Facility 6 Horti Processing '!E185</f>
        <v>0</v>
      </c>
      <c r="D33" s="92">
        <f>'17.Facility 6 Horti Processing '!F185</f>
        <v>0</v>
      </c>
      <c r="E33" s="92">
        <f>'17.Facility 6 Horti Processing '!G185</f>
        <v>0</v>
      </c>
      <c r="F33" s="92">
        <f>'17.Facility 6 Horti Processing '!H185</f>
        <v>0</v>
      </c>
      <c r="G33" s="92">
        <f>'17.Facility 6 Horti Processing '!I185</f>
        <v>0</v>
      </c>
      <c r="H33" s="92">
        <f>'17.Facility 6 Horti Processing '!J185</f>
        <v>0</v>
      </c>
    </row>
    <row r="34" spans="1:10">
      <c r="A34" s="91"/>
      <c r="B34" s="92"/>
      <c r="C34" s="92"/>
      <c r="D34" s="92"/>
      <c r="E34" s="92"/>
      <c r="F34" s="92"/>
      <c r="G34" s="92"/>
      <c r="H34" s="92"/>
    </row>
    <row r="35" spans="1:10">
      <c r="A35" s="91" t="s">
        <v>9</v>
      </c>
      <c r="B35" s="92">
        <f>'3.Other Exp &amp; Taxes'!E23</f>
        <v>1265200</v>
      </c>
      <c r="C35" s="92">
        <f>'3.Other Exp &amp; Taxes'!F23</f>
        <v>1328460</v>
      </c>
      <c r="D35" s="92">
        <f>'3.Other Exp &amp; Taxes'!G23</f>
        <v>1394883</v>
      </c>
      <c r="E35" s="92">
        <f>'3.Other Exp &amp; Taxes'!H23</f>
        <v>1464627.1500000001</v>
      </c>
      <c r="F35" s="92">
        <f>'3.Other Exp &amp; Taxes'!I23</f>
        <v>1537858.5075000001</v>
      </c>
      <c r="G35" s="92">
        <f>'3.Other Exp &amp; Taxes'!J23</f>
        <v>1614751.4328750004</v>
      </c>
      <c r="H35" s="92">
        <f>'3.Other Exp &amp; Taxes'!K23</f>
        <v>1695489.0045187508</v>
      </c>
    </row>
    <row r="36" spans="1:10">
      <c r="A36" s="93" t="s">
        <v>318</v>
      </c>
      <c r="B36" s="111">
        <f t="shared" ref="B36:H36" si="4">SUM(B28:B35)</f>
        <v>1553200</v>
      </c>
      <c r="C36" s="111">
        <f t="shared" si="4"/>
        <v>1630860</v>
      </c>
      <c r="D36" s="111">
        <f t="shared" si="4"/>
        <v>1712403</v>
      </c>
      <c r="E36" s="111">
        <f t="shared" si="4"/>
        <v>1798023.1500000001</v>
      </c>
      <c r="F36" s="111">
        <f t="shared" si="4"/>
        <v>1887924.3075000001</v>
      </c>
      <c r="G36" s="111">
        <f t="shared" si="4"/>
        <v>1982320.5228750005</v>
      </c>
      <c r="H36" s="111">
        <f t="shared" si="4"/>
        <v>2081436.5490187509</v>
      </c>
    </row>
    <row r="37" spans="1:10">
      <c r="A37" s="91"/>
      <c r="B37" s="92"/>
      <c r="C37" s="92"/>
      <c r="D37" s="92"/>
      <c r="E37" s="92"/>
      <c r="F37" s="92"/>
      <c r="G37" s="92"/>
      <c r="H37" s="92"/>
    </row>
    <row r="38" spans="1:10">
      <c r="A38" s="93" t="s">
        <v>323</v>
      </c>
      <c r="B38" s="111">
        <f t="shared" ref="B38:H38" si="5">B25+B36</f>
        <v>55333963.92946133</v>
      </c>
      <c r="C38" s="111">
        <f t="shared" si="5"/>
        <v>66169394.002481535</v>
      </c>
      <c r="D38" s="111">
        <f t="shared" si="5"/>
        <v>76953402.849302709</v>
      </c>
      <c r="E38" s="111">
        <f t="shared" si="5"/>
        <v>88650389.095799789</v>
      </c>
      <c r="F38" s="111">
        <f t="shared" si="5"/>
        <v>101324690.45982333</v>
      </c>
      <c r="G38" s="111">
        <f t="shared" si="5"/>
        <v>115035606.76025972</v>
      </c>
      <c r="H38" s="111">
        <f t="shared" si="5"/>
        <v>129864302.96459021</v>
      </c>
    </row>
    <row r="39" spans="1:10">
      <c r="A39" s="91"/>
      <c r="B39" s="92"/>
      <c r="C39" s="92"/>
      <c r="D39" s="92"/>
      <c r="E39" s="92"/>
      <c r="F39" s="92"/>
      <c r="G39" s="92"/>
      <c r="H39" s="92"/>
    </row>
    <row r="40" spans="1:10">
      <c r="A40" s="93" t="s">
        <v>137</v>
      </c>
      <c r="B40" s="111">
        <f t="shared" ref="B40:H40" si="6">B15-B38</f>
        <v>5472923.0705386624</v>
      </c>
      <c r="C40" s="111">
        <f t="shared" si="6"/>
        <v>6705657.4162684679</v>
      </c>
      <c r="D40" s="111">
        <f t="shared" si="6"/>
        <v>7943842.9997597933</v>
      </c>
      <c r="E40" s="111">
        <f t="shared" si="6"/>
        <v>9289082.9980596006</v>
      </c>
      <c r="F40" s="111">
        <f t="shared" si="6"/>
        <v>10748987.388689995</v>
      </c>
      <c r="G40" s="111">
        <f t="shared" si="6"/>
        <v>12157064.193138272</v>
      </c>
      <c r="H40" s="111">
        <f t="shared" si="6"/>
        <v>13679076.209559575</v>
      </c>
      <c r="J40" s="66">
        <f>B49+B42+B43</f>
        <v>4033065.9474318651</v>
      </c>
    </row>
    <row r="41" spans="1:10">
      <c r="A41" s="91"/>
      <c r="B41" s="92"/>
      <c r="C41" s="92"/>
      <c r="D41" s="92"/>
      <c r="E41" s="92"/>
      <c r="F41" s="92"/>
      <c r="G41" s="92"/>
      <c r="H41" s="92"/>
      <c r="J41">
        <f>'5.Closing Stock &amp; W Capital'!E57</f>
        <v>580170.90216580825</v>
      </c>
    </row>
    <row r="42" spans="1:10">
      <c r="A42" s="95" t="s">
        <v>17</v>
      </c>
      <c r="B42" s="92">
        <f>'3.Other Exp &amp; Taxes'!C66</f>
        <v>1057184.3239</v>
      </c>
      <c r="C42" s="92">
        <f>'3.Other Exp &amp; Taxes'!D66</f>
        <v>1057184.3239</v>
      </c>
      <c r="D42" s="92">
        <f>'3.Other Exp &amp; Taxes'!E66</f>
        <v>1057184.3239</v>
      </c>
      <c r="E42" s="92">
        <f>'3.Other Exp &amp; Taxes'!F66</f>
        <v>1057184.3239</v>
      </c>
      <c r="F42" s="92">
        <f>'3.Other Exp &amp; Taxes'!G66</f>
        <v>1057184.3239</v>
      </c>
      <c r="G42" s="92">
        <f>'3.Other Exp &amp; Taxes'!H66</f>
        <v>1057184.3239</v>
      </c>
      <c r="H42" s="92">
        <f>'3.Other Exp &amp; Taxes'!I66</f>
        <v>1057184.3239</v>
      </c>
      <c r="J42" s="66">
        <f>J40+J41</f>
        <v>4613236.8495976739</v>
      </c>
    </row>
    <row r="43" spans="1:10">
      <c r="A43" s="95" t="s">
        <v>138</v>
      </c>
      <c r="B43" s="92">
        <f>'3.Other Exp &amp; Taxes'!C86</f>
        <v>24000</v>
      </c>
      <c r="C43" s="92">
        <f>'3.Other Exp &amp; Taxes'!D86</f>
        <v>24000</v>
      </c>
      <c r="D43" s="92">
        <f>'3.Other Exp &amp; Taxes'!E86</f>
        <v>24000</v>
      </c>
      <c r="E43" s="92">
        <f>'3.Other Exp &amp; Taxes'!F86</f>
        <v>24000</v>
      </c>
      <c r="F43" s="92">
        <f>'3.Other Exp &amp; Taxes'!G86</f>
        <v>24000</v>
      </c>
      <c r="G43" s="92">
        <f>'3.Other Exp &amp; Taxes'!H86</f>
        <v>0</v>
      </c>
      <c r="H43" s="92">
        <f>'3.Other Exp &amp; Taxes'!I86</f>
        <v>0</v>
      </c>
    </row>
    <row r="44" spans="1:10">
      <c r="A44" s="91"/>
      <c r="B44" s="92"/>
      <c r="C44" s="92"/>
      <c r="D44" s="92"/>
      <c r="E44" s="92"/>
      <c r="F44" s="92"/>
      <c r="G44" s="92"/>
      <c r="H44" s="92"/>
    </row>
    <row r="45" spans="1:10">
      <c r="A45" s="93" t="s">
        <v>139</v>
      </c>
      <c r="B45" s="111">
        <f>B40-B42-B43</f>
        <v>4391738.7466386622</v>
      </c>
      <c r="C45" s="111">
        <f t="shared" ref="C45:H45" si="7">C40-C42-C43</f>
        <v>5624473.0923684677</v>
      </c>
      <c r="D45" s="111">
        <f t="shared" si="7"/>
        <v>6862658.6758597931</v>
      </c>
      <c r="E45" s="111">
        <f t="shared" si="7"/>
        <v>8207898.6741596004</v>
      </c>
      <c r="F45" s="111">
        <f t="shared" si="7"/>
        <v>9667803.0647899956</v>
      </c>
      <c r="G45" s="111">
        <f t="shared" si="7"/>
        <v>11099879.869238272</v>
      </c>
      <c r="H45" s="111">
        <f t="shared" si="7"/>
        <v>12621891.885659575</v>
      </c>
    </row>
    <row r="46" spans="1:10">
      <c r="A46" s="91"/>
      <c r="B46" s="92"/>
      <c r="C46" s="92"/>
      <c r="D46" s="92"/>
      <c r="E46" s="92"/>
      <c r="F46" s="92"/>
      <c r="G46" s="92"/>
      <c r="H46" s="92"/>
    </row>
    <row r="47" spans="1:10">
      <c r="A47" s="91" t="s">
        <v>24</v>
      </c>
      <c r="B47" s="92">
        <f>'8.Cash Flow '!C27+'8.Cash Flow '!C29</f>
        <v>1439857.1231067972</v>
      </c>
      <c r="C47" s="92">
        <f>'8.Cash Flow '!D27+'8.Cash Flow '!D29</f>
        <v>1372863.696137602</v>
      </c>
      <c r="D47" s="92">
        <f>'8.Cash Flow '!E27+'8.Cash Flow '!E29</f>
        <v>1177829.3858316469</v>
      </c>
      <c r="E47" s="92">
        <f>'8.Cash Flow '!F27+'8.Cash Flow '!F29</f>
        <v>955731.7697066199</v>
      </c>
      <c r="F47" s="92">
        <f>'8.Cash Flow '!G27+'8.Cash Flow '!G29</f>
        <v>702872.64804172504</v>
      </c>
      <c r="G47" s="92">
        <f>'8.Cash Flow '!H27+'8.Cash Flow '!H29</f>
        <v>586143.54097696999</v>
      </c>
      <c r="H47" s="92">
        <f>'8.Cash Flow '!I27+'8.Cash Flow '!I29</f>
        <v>662333.14522357355</v>
      </c>
    </row>
    <row r="48" spans="1:10">
      <c r="A48" s="91"/>
      <c r="B48" s="92"/>
      <c r="C48" s="92"/>
      <c r="D48" s="92"/>
      <c r="E48" s="92"/>
      <c r="F48" s="92"/>
      <c r="G48" s="92"/>
      <c r="H48" s="92"/>
    </row>
    <row r="49" spans="1:9">
      <c r="A49" s="91" t="s">
        <v>25</v>
      </c>
      <c r="B49" s="92">
        <f>B45-B47</f>
        <v>2951881.623531865</v>
      </c>
      <c r="C49" s="92">
        <f t="shared" ref="C49:H49" si="8">C45-C47</f>
        <v>4251609.3962308653</v>
      </c>
      <c r="D49" s="92">
        <f t="shared" si="8"/>
        <v>5684829.2900281465</v>
      </c>
      <c r="E49" s="92">
        <f t="shared" si="8"/>
        <v>7252166.9044529805</v>
      </c>
      <c r="F49" s="92">
        <f t="shared" si="8"/>
        <v>8964930.4167482704</v>
      </c>
      <c r="G49" s="92">
        <f t="shared" si="8"/>
        <v>10513736.328261303</v>
      </c>
      <c r="H49" s="92">
        <f t="shared" si="8"/>
        <v>11959558.740436003</v>
      </c>
    </row>
    <row r="50" spans="1:9">
      <c r="A50" s="91" t="s">
        <v>26</v>
      </c>
      <c r="B50" s="92">
        <f>'3.Other Exp &amp; Taxes'!B99</f>
        <v>222292.00433228491</v>
      </c>
      <c r="C50" s="92">
        <f>'3.Other Exp &amp; Taxes'!C99</f>
        <v>649326.44143402507</v>
      </c>
      <c r="D50" s="92">
        <f>'3.Other Exp &amp; Taxes'!D99</f>
        <v>1101093.5031013181</v>
      </c>
      <c r="E50" s="92">
        <f>'3.Other Exp &amp; Taxes'!E99</f>
        <v>1578913.0986987751</v>
      </c>
      <c r="F50" s="92">
        <f>'3.Other Exp &amp; Taxes'!F99</f>
        <v>2086742.9243286003</v>
      </c>
      <c r="G50" s="92">
        <f>'3.Other Exp &amp; Taxes'!G99</f>
        <v>2545038.718956871</v>
      </c>
      <c r="H50" s="92">
        <f>'3.Other Exp &amp; Taxes'!H99</f>
        <v>2970442.3429720546</v>
      </c>
    </row>
    <row r="51" spans="1:9">
      <c r="A51" s="93" t="s">
        <v>28</v>
      </c>
      <c r="B51" s="92">
        <f>B49-B50</f>
        <v>2729589.61919958</v>
      </c>
      <c r="C51" s="92">
        <f>C49-C50</f>
        <v>3602282.9547968404</v>
      </c>
      <c r="D51" s="92">
        <f>D49-D50</f>
        <v>4583735.7869268283</v>
      </c>
      <c r="E51" s="92">
        <f>E49-E50</f>
        <v>5673253.8057542052</v>
      </c>
      <c r="F51" s="92">
        <f>F49-F50</f>
        <v>6878187.4924196703</v>
      </c>
      <c r="G51" s="92">
        <f t="shared" ref="G51:H51" si="9">G49-G50</f>
        <v>7968697.6093044318</v>
      </c>
      <c r="H51" s="92">
        <f t="shared" si="9"/>
        <v>8989116.3974639475</v>
      </c>
    </row>
    <row r="52" spans="1:9">
      <c r="A52" s="90"/>
      <c r="B52" s="108"/>
      <c r="C52" s="108"/>
      <c r="D52" s="108"/>
      <c r="E52" s="108"/>
      <c r="F52" s="108"/>
      <c r="G52" s="108"/>
      <c r="H52" s="108"/>
    </row>
    <row r="53" spans="1:9">
      <c r="A53" s="90" t="s">
        <v>505</v>
      </c>
      <c r="B53" s="108">
        <f>B51</f>
        <v>2729589.61919958</v>
      </c>
      <c r="C53" s="108">
        <f t="shared" ref="C53:H53" si="10">B53+C51</f>
        <v>6331872.5739964209</v>
      </c>
      <c r="D53" s="108">
        <f t="shared" si="10"/>
        <v>10915608.360923249</v>
      </c>
      <c r="E53" s="108">
        <f t="shared" si="10"/>
        <v>16588862.166677454</v>
      </c>
      <c r="F53" s="108">
        <f t="shared" si="10"/>
        <v>23467049.659097124</v>
      </c>
      <c r="G53" s="108">
        <f t="shared" si="10"/>
        <v>31435747.268401556</v>
      </c>
      <c r="H53" s="108">
        <f t="shared" si="10"/>
        <v>40424863.665865503</v>
      </c>
    </row>
    <row r="56" spans="1:9" ht="32.5" customHeight="1">
      <c r="A56" s="508" t="s">
        <v>399</v>
      </c>
      <c r="B56" s="508"/>
      <c r="C56" s="508"/>
      <c r="D56" s="508"/>
      <c r="E56" s="508"/>
      <c r="F56" s="508"/>
      <c r="G56" s="508"/>
      <c r="H56" s="508"/>
      <c r="I56" s="508"/>
    </row>
    <row r="58" spans="1:9">
      <c r="A58" s="274"/>
    </row>
  </sheetData>
  <mergeCells count="2">
    <mergeCell ref="A2:H2"/>
    <mergeCell ref="A56:I56"/>
  </mergeCells>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topLeftCell="A47" zoomScale="80" zoomScaleSheetLayoutView="80" workbookViewId="0">
      <selection activeCell="A47" sqref="A47"/>
    </sheetView>
  </sheetViews>
  <sheetFormatPr defaultRowHeight="14.5"/>
  <cols>
    <col min="1" max="1" width="37.26953125" style="53" customWidth="1"/>
    <col min="2" max="2" width="18.453125" style="53" bestFit="1" customWidth="1"/>
    <col min="3" max="3" width="12.453125" style="53" bestFit="1" customWidth="1"/>
    <col min="4" max="6" width="13.54296875" style="53" bestFit="1" customWidth="1"/>
    <col min="7" max="8" width="12.453125" style="53" bestFit="1" customWidth="1"/>
    <col min="9" max="9" width="9.1796875" style="53"/>
    <col min="10" max="10" width="32.81640625" style="53" bestFit="1" customWidth="1"/>
    <col min="11" max="16" width="8.7265625" style="53" bestFit="1"/>
    <col min="17" max="17" width="10.1796875" style="53" bestFit="1" customWidth="1"/>
    <col min="18" max="256" width="9.1796875" style="53"/>
    <col min="257" max="257" width="37.26953125" style="53" customWidth="1"/>
    <col min="258" max="258" width="18.453125" style="53" bestFit="1" customWidth="1"/>
    <col min="259" max="262" width="12.453125" style="53" bestFit="1" customWidth="1"/>
    <col min="263" max="263" width="11.7265625" style="53" bestFit="1" customWidth="1"/>
    <col min="264" max="512" width="9.1796875" style="53"/>
    <col min="513" max="513" width="37.26953125" style="53" customWidth="1"/>
    <col min="514" max="514" width="18.453125" style="53" bestFit="1" customWidth="1"/>
    <col min="515" max="518" width="12.453125" style="53" bestFit="1" customWidth="1"/>
    <col min="519" max="519" width="11.7265625" style="53" bestFit="1" customWidth="1"/>
    <col min="520" max="768" width="9.1796875" style="53"/>
    <col min="769" max="769" width="37.26953125" style="53" customWidth="1"/>
    <col min="770" max="770" width="18.453125" style="53" bestFit="1" customWidth="1"/>
    <col min="771" max="774" width="12.453125" style="53" bestFit="1" customWidth="1"/>
    <col min="775" max="775" width="11.7265625" style="53" bestFit="1" customWidth="1"/>
    <col min="776" max="1024" width="9.1796875" style="53"/>
    <col min="1025" max="1025" width="37.26953125" style="53" customWidth="1"/>
    <col min="1026" max="1026" width="18.453125" style="53" bestFit="1" customWidth="1"/>
    <col min="1027" max="1030" width="12.453125" style="53" bestFit="1" customWidth="1"/>
    <col min="1031" max="1031" width="11.7265625" style="53" bestFit="1" customWidth="1"/>
    <col min="1032" max="1280" width="9.1796875" style="53"/>
    <col min="1281" max="1281" width="37.26953125" style="53" customWidth="1"/>
    <col min="1282" max="1282" width="18.453125" style="53" bestFit="1" customWidth="1"/>
    <col min="1283" max="1286" width="12.453125" style="53" bestFit="1" customWidth="1"/>
    <col min="1287" max="1287" width="11.7265625" style="53" bestFit="1" customWidth="1"/>
    <col min="1288" max="1536" width="9.1796875" style="53"/>
    <col min="1537" max="1537" width="37.26953125" style="53" customWidth="1"/>
    <col min="1538" max="1538" width="18.453125" style="53" bestFit="1" customWidth="1"/>
    <col min="1539" max="1542" width="12.453125" style="53" bestFit="1" customWidth="1"/>
    <col min="1543" max="1543" width="11.7265625" style="53" bestFit="1" customWidth="1"/>
    <col min="1544" max="1792" width="9.1796875" style="53"/>
    <col min="1793" max="1793" width="37.26953125" style="53" customWidth="1"/>
    <col min="1794" max="1794" width="18.453125" style="53" bestFit="1" customWidth="1"/>
    <col min="1795" max="1798" width="12.453125" style="53" bestFit="1" customWidth="1"/>
    <col min="1799" max="1799" width="11.7265625" style="53" bestFit="1" customWidth="1"/>
    <col min="1800" max="2048" width="9.1796875" style="53"/>
    <col min="2049" max="2049" width="37.26953125" style="53" customWidth="1"/>
    <col min="2050" max="2050" width="18.453125" style="53" bestFit="1" customWidth="1"/>
    <col min="2051" max="2054" width="12.453125" style="53" bestFit="1" customWidth="1"/>
    <col min="2055" max="2055" width="11.7265625" style="53" bestFit="1" customWidth="1"/>
    <col min="2056" max="2304" width="9.1796875" style="53"/>
    <col min="2305" max="2305" width="37.26953125" style="53" customWidth="1"/>
    <col min="2306" max="2306" width="18.453125" style="53" bestFit="1" customWidth="1"/>
    <col min="2307" max="2310" width="12.453125" style="53" bestFit="1" customWidth="1"/>
    <col min="2311" max="2311" width="11.7265625" style="53" bestFit="1" customWidth="1"/>
    <col min="2312" max="2560" width="9.1796875" style="53"/>
    <col min="2561" max="2561" width="37.26953125" style="53" customWidth="1"/>
    <col min="2562" max="2562" width="18.453125" style="53" bestFit="1" customWidth="1"/>
    <col min="2563" max="2566" width="12.453125" style="53" bestFit="1" customWidth="1"/>
    <col min="2567" max="2567" width="11.7265625" style="53" bestFit="1" customWidth="1"/>
    <col min="2568" max="2816" width="9.1796875" style="53"/>
    <col min="2817" max="2817" width="37.26953125" style="53" customWidth="1"/>
    <col min="2818" max="2818" width="18.453125" style="53" bestFit="1" customWidth="1"/>
    <col min="2819" max="2822" width="12.453125" style="53" bestFit="1" customWidth="1"/>
    <col min="2823" max="2823" width="11.7265625" style="53" bestFit="1" customWidth="1"/>
    <col min="2824" max="3072" width="9.1796875" style="53"/>
    <col min="3073" max="3073" width="37.26953125" style="53" customWidth="1"/>
    <col min="3074" max="3074" width="18.453125" style="53" bestFit="1" customWidth="1"/>
    <col min="3075" max="3078" width="12.453125" style="53" bestFit="1" customWidth="1"/>
    <col min="3079" max="3079" width="11.7265625" style="53" bestFit="1" customWidth="1"/>
    <col min="3080" max="3328" width="9.1796875" style="53"/>
    <col min="3329" max="3329" width="37.26953125" style="53" customWidth="1"/>
    <col min="3330" max="3330" width="18.453125" style="53" bestFit="1" customWidth="1"/>
    <col min="3331" max="3334" width="12.453125" style="53" bestFit="1" customWidth="1"/>
    <col min="3335" max="3335" width="11.7265625" style="53" bestFit="1" customWidth="1"/>
    <col min="3336" max="3584" width="9.1796875" style="53"/>
    <col min="3585" max="3585" width="37.26953125" style="53" customWidth="1"/>
    <col min="3586" max="3586" width="18.453125" style="53" bestFit="1" customWidth="1"/>
    <col min="3587" max="3590" width="12.453125" style="53" bestFit="1" customWidth="1"/>
    <col min="3591" max="3591" width="11.7265625" style="53" bestFit="1" customWidth="1"/>
    <col min="3592" max="3840" width="9.1796875" style="53"/>
    <col min="3841" max="3841" width="37.26953125" style="53" customWidth="1"/>
    <col min="3842" max="3842" width="18.453125" style="53" bestFit="1" customWidth="1"/>
    <col min="3843" max="3846" width="12.453125" style="53" bestFit="1" customWidth="1"/>
    <col min="3847" max="3847" width="11.7265625" style="53" bestFit="1" customWidth="1"/>
    <col min="3848" max="4096" width="9.1796875" style="53"/>
    <col min="4097" max="4097" width="37.26953125" style="53" customWidth="1"/>
    <col min="4098" max="4098" width="18.453125" style="53" bestFit="1" customWidth="1"/>
    <col min="4099" max="4102" width="12.453125" style="53" bestFit="1" customWidth="1"/>
    <col min="4103" max="4103" width="11.7265625" style="53" bestFit="1" customWidth="1"/>
    <col min="4104" max="4352" width="9.1796875" style="53"/>
    <col min="4353" max="4353" width="37.26953125" style="53" customWidth="1"/>
    <col min="4354" max="4354" width="18.453125" style="53" bestFit="1" customWidth="1"/>
    <col min="4355" max="4358" width="12.453125" style="53" bestFit="1" customWidth="1"/>
    <col min="4359" max="4359" width="11.7265625" style="53" bestFit="1" customWidth="1"/>
    <col min="4360" max="4608" width="9.1796875" style="53"/>
    <col min="4609" max="4609" width="37.26953125" style="53" customWidth="1"/>
    <col min="4610" max="4610" width="18.453125" style="53" bestFit="1" customWidth="1"/>
    <col min="4611" max="4614" width="12.453125" style="53" bestFit="1" customWidth="1"/>
    <col min="4615" max="4615" width="11.7265625" style="53" bestFit="1" customWidth="1"/>
    <col min="4616" max="4864" width="9.1796875" style="53"/>
    <col min="4865" max="4865" width="37.26953125" style="53" customWidth="1"/>
    <col min="4866" max="4866" width="18.453125" style="53" bestFit="1" customWidth="1"/>
    <col min="4867" max="4870" width="12.453125" style="53" bestFit="1" customWidth="1"/>
    <col min="4871" max="4871" width="11.7265625" style="53" bestFit="1" customWidth="1"/>
    <col min="4872" max="5120" width="9.1796875" style="53"/>
    <col min="5121" max="5121" width="37.26953125" style="53" customWidth="1"/>
    <col min="5122" max="5122" width="18.453125" style="53" bestFit="1" customWidth="1"/>
    <col min="5123" max="5126" width="12.453125" style="53" bestFit="1" customWidth="1"/>
    <col min="5127" max="5127" width="11.7265625" style="53" bestFit="1" customWidth="1"/>
    <col min="5128" max="5376" width="9.1796875" style="53"/>
    <col min="5377" max="5377" width="37.26953125" style="53" customWidth="1"/>
    <col min="5378" max="5378" width="18.453125" style="53" bestFit="1" customWidth="1"/>
    <col min="5379" max="5382" width="12.453125" style="53" bestFit="1" customWidth="1"/>
    <col min="5383" max="5383" width="11.7265625" style="53" bestFit="1" customWidth="1"/>
    <col min="5384" max="5632" width="9.1796875" style="53"/>
    <col min="5633" max="5633" width="37.26953125" style="53" customWidth="1"/>
    <col min="5634" max="5634" width="18.453125" style="53" bestFit="1" customWidth="1"/>
    <col min="5635" max="5638" width="12.453125" style="53" bestFit="1" customWidth="1"/>
    <col min="5639" max="5639" width="11.7265625" style="53" bestFit="1" customWidth="1"/>
    <col min="5640" max="5888" width="9.1796875" style="53"/>
    <col min="5889" max="5889" width="37.26953125" style="53" customWidth="1"/>
    <col min="5890" max="5890" width="18.453125" style="53" bestFit="1" customWidth="1"/>
    <col min="5891" max="5894" width="12.453125" style="53" bestFit="1" customWidth="1"/>
    <col min="5895" max="5895" width="11.7265625" style="53" bestFit="1" customWidth="1"/>
    <col min="5896" max="6144" width="9.1796875" style="53"/>
    <col min="6145" max="6145" width="37.26953125" style="53" customWidth="1"/>
    <col min="6146" max="6146" width="18.453125" style="53" bestFit="1" customWidth="1"/>
    <col min="6147" max="6150" width="12.453125" style="53" bestFit="1" customWidth="1"/>
    <col min="6151" max="6151" width="11.7265625" style="53" bestFit="1" customWidth="1"/>
    <col min="6152" max="6400" width="9.1796875" style="53"/>
    <col min="6401" max="6401" width="37.26953125" style="53" customWidth="1"/>
    <col min="6402" max="6402" width="18.453125" style="53" bestFit="1" customWidth="1"/>
    <col min="6403" max="6406" width="12.453125" style="53" bestFit="1" customWidth="1"/>
    <col min="6407" max="6407" width="11.7265625" style="53" bestFit="1" customWidth="1"/>
    <col min="6408" max="6656" width="9.1796875" style="53"/>
    <col min="6657" max="6657" width="37.26953125" style="53" customWidth="1"/>
    <col min="6658" max="6658" width="18.453125" style="53" bestFit="1" customWidth="1"/>
    <col min="6659" max="6662" width="12.453125" style="53" bestFit="1" customWidth="1"/>
    <col min="6663" max="6663" width="11.7265625" style="53" bestFit="1" customWidth="1"/>
    <col min="6664" max="6912" width="9.1796875" style="53"/>
    <col min="6913" max="6913" width="37.26953125" style="53" customWidth="1"/>
    <col min="6914" max="6914" width="18.453125" style="53" bestFit="1" customWidth="1"/>
    <col min="6915" max="6918" width="12.453125" style="53" bestFit="1" customWidth="1"/>
    <col min="6919" max="6919" width="11.7265625" style="53" bestFit="1" customWidth="1"/>
    <col min="6920" max="7168" width="9.1796875" style="53"/>
    <col min="7169" max="7169" width="37.26953125" style="53" customWidth="1"/>
    <col min="7170" max="7170" width="18.453125" style="53" bestFit="1" customWidth="1"/>
    <col min="7171" max="7174" width="12.453125" style="53" bestFit="1" customWidth="1"/>
    <col min="7175" max="7175" width="11.7265625" style="53" bestFit="1" customWidth="1"/>
    <col min="7176" max="7424" width="9.1796875" style="53"/>
    <col min="7425" max="7425" width="37.26953125" style="53" customWidth="1"/>
    <col min="7426" max="7426" width="18.453125" style="53" bestFit="1" customWidth="1"/>
    <col min="7427" max="7430" width="12.453125" style="53" bestFit="1" customWidth="1"/>
    <col min="7431" max="7431" width="11.7265625" style="53" bestFit="1" customWidth="1"/>
    <col min="7432" max="7680" width="9.1796875" style="53"/>
    <col min="7681" max="7681" width="37.26953125" style="53" customWidth="1"/>
    <col min="7682" max="7682" width="18.453125" style="53" bestFit="1" customWidth="1"/>
    <col min="7683" max="7686" width="12.453125" style="53" bestFit="1" customWidth="1"/>
    <col min="7687" max="7687" width="11.7265625" style="53" bestFit="1" customWidth="1"/>
    <col min="7688" max="7936" width="9.1796875" style="53"/>
    <col min="7937" max="7937" width="37.26953125" style="53" customWidth="1"/>
    <col min="7938" max="7938" width="18.453125" style="53" bestFit="1" customWidth="1"/>
    <col min="7939" max="7942" width="12.453125" style="53" bestFit="1" customWidth="1"/>
    <col min="7943" max="7943" width="11.7265625" style="53" bestFit="1" customWidth="1"/>
    <col min="7944" max="8192" width="9.1796875" style="53"/>
    <col min="8193" max="8193" width="37.26953125" style="53" customWidth="1"/>
    <col min="8194" max="8194" width="18.453125" style="53" bestFit="1" customWidth="1"/>
    <col min="8195" max="8198" width="12.453125" style="53" bestFit="1" customWidth="1"/>
    <col min="8199" max="8199" width="11.7265625" style="53" bestFit="1" customWidth="1"/>
    <col min="8200" max="8448" width="9.1796875" style="53"/>
    <col min="8449" max="8449" width="37.26953125" style="53" customWidth="1"/>
    <col min="8450" max="8450" width="18.453125" style="53" bestFit="1" customWidth="1"/>
    <col min="8451" max="8454" width="12.453125" style="53" bestFit="1" customWidth="1"/>
    <col min="8455" max="8455" width="11.7265625" style="53" bestFit="1" customWidth="1"/>
    <col min="8456" max="8704" width="9.1796875" style="53"/>
    <col min="8705" max="8705" width="37.26953125" style="53" customWidth="1"/>
    <col min="8706" max="8706" width="18.453125" style="53" bestFit="1" customWidth="1"/>
    <col min="8707" max="8710" width="12.453125" style="53" bestFit="1" customWidth="1"/>
    <col min="8711" max="8711" width="11.7265625" style="53" bestFit="1" customWidth="1"/>
    <col min="8712" max="8960" width="9.1796875" style="53"/>
    <col min="8961" max="8961" width="37.26953125" style="53" customWidth="1"/>
    <col min="8962" max="8962" width="18.453125" style="53" bestFit="1" customWidth="1"/>
    <col min="8963" max="8966" width="12.453125" style="53" bestFit="1" customWidth="1"/>
    <col min="8967" max="8967" width="11.7265625" style="53" bestFit="1" customWidth="1"/>
    <col min="8968" max="9216" width="9.1796875" style="53"/>
    <col min="9217" max="9217" width="37.26953125" style="53" customWidth="1"/>
    <col min="9218" max="9218" width="18.453125" style="53" bestFit="1" customWidth="1"/>
    <col min="9219" max="9222" width="12.453125" style="53" bestFit="1" customWidth="1"/>
    <col min="9223" max="9223" width="11.7265625" style="53" bestFit="1" customWidth="1"/>
    <col min="9224" max="9472" width="9.1796875" style="53"/>
    <col min="9473" max="9473" width="37.26953125" style="53" customWidth="1"/>
    <col min="9474" max="9474" width="18.453125" style="53" bestFit="1" customWidth="1"/>
    <col min="9475" max="9478" width="12.453125" style="53" bestFit="1" customWidth="1"/>
    <col min="9479" max="9479" width="11.7265625" style="53" bestFit="1" customWidth="1"/>
    <col min="9480" max="9728" width="9.1796875" style="53"/>
    <col min="9729" max="9729" width="37.26953125" style="53" customWidth="1"/>
    <col min="9730" max="9730" width="18.453125" style="53" bestFit="1" customWidth="1"/>
    <col min="9731" max="9734" width="12.453125" style="53" bestFit="1" customWidth="1"/>
    <col min="9735" max="9735" width="11.7265625" style="53" bestFit="1" customWidth="1"/>
    <col min="9736" max="9984" width="9.1796875" style="53"/>
    <col min="9985" max="9985" width="37.26953125" style="53" customWidth="1"/>
    <col min="9986" max="9986" width="18.453125" style="53" bestFit="1" customWidth="1"/>
    <col min="9987" max="9990" width="12.453125" style="53" bestFit="1" customWidth="1"/>
    <col min="9991" max="9991" width="11.7265625" style="53" bestFit="1" customWidth="1"/>
    <col min="9992" max="10240" width="9.1796875" style="53"/>
    <col min="10241" max="10241" width="37.26953125" style="53" customWidth="1"/>
    <col min="10242" max="10242" width="18.453125" style="53" bestFit="1" customWidth="1"/>
    <col min="10243" max="10246" width="12.453125" style="53" bestFit="1" customWidth="1"/>
    <col min="10247" max="10247" width="11.7265625" style="53" bestFit="1" customWidth="1"/>
    <col min="10248" max="10496" width="9.1796875" style="53"/>
    <col min="10497" max="10497" width="37.26953125" style="53" customWidth="1"/>
    <col min="10498" max="10498" width="18.453125" style="53" bestFit="1" customWidth="1"/>
    <col min="10499" max="10502" width="12.453125" style="53" bestFit="1" customWidth="1"/>
    <col min="10503" max="10503" width="11.7265625" style="53" bestFit="1" customWidth="1"/>
    <col min="10504" max="10752" width="9.1796875" style="53"/>
    <col min="10753" max="10753" width="37.26953125" style="53" customWidth="1"/>
    <col min="10754" max="10754" width="18.453125" style="53" bestFit="1" customWidth="1"/>
    <col min="10755" max="10758" width="12.453125" style="53" bestFit="1" customWidth="1"/>
    <col min="10759" max="10759" width="11.7265625" style="53" bestFit="1" customWidth="1"/>
    <col min="10760" max="11008" width="9.1796875" style="53"/>
    <col min="11009" max="11009" width="37.26953125" style="53" customWidth="1"/>
    <col min="11010" max="11010" width="18.453125" style="53" bestFit="1" customWidth="1"/>
    <col min="11011" max="11014" width="12.453125" style="53" bestFit="1" customWidth="1"/>
    <col min="11015" max="11015" width="11.7265625" style="53" bestFit="1" customWidth="1"/>
    <col min="11016" max="11264" width="9.1796875" style="53"/>
    <col min="11265" max="11265" width="37.26953125" style="53" customWidth="1"/>
    <col min="11266" max="11266" width="18.453125" style="53" bestFit="1" customWidth="1"/>
    <col min="11267" max="11270" width="12.453125" style="53" bestFit="1" customWidth="1"/>
    <col min="11271" max="11271" width="11.7265625" style="53" bestFit="1" customWidth="1"/>
    <col min="11272" max="11520" width="9.1796875" style="53"/>
    <col min="11521" max="11521" width="37.26953125" style="53" customWidth="1"/>
    <col min="11522" max="11522" width="18.453125" style="53" bestFit="1" customWidth="1"/>
    <col min="11523" max="11526" width="12.453125" style="53" bestFit="1" customWidth="1"/>
    <col min="11527" max="11527" width="11.7265625" style="53" bestFit="1" customWidth="1"/>
    <col min="11528" max="11776" width="9.1796875" style="53"/>
    <col min="11777" max="11777" width="37.26953125" style="53" customWidth="1"/>
    <col min="11778" max="11778" width="18.453125" style="53" bestFit="1" customWidth="1"/>
    <col min="11779" max="11782" width="12.453125" style="53" bestFit="1" customWidth="1"/>
    <col min="11783" max="11783" width="11.7265625" style="53" bestFit="1" customWidth="1"/>
    <col min="11784" max="12032" width="9.1796875" style="53"/>
    <col min="12033" max="12033" width="37.26953125" style="53" customWidth="1"/>
    <col min="12034" max="12034" width="18.453125" style="53" bestFit="1" customWidth="1"/>
    <col min="12035" max="12038" width="12.453125" style="53" bestFit="1" customWidth="1"/>
    <col min="12039" max="12039" width="11.7265625" style="53" bestFit="1" customWidth="1"/>
    <col min="12040" max="12288" width="9.1796875" style="53"/>
    <col min="12289" max="12289" width="37.26953125" style="53" customWidth="1"/>
    <col min="12290" max="12290" width="18.453125" style="53" bestFit="1" customWidth="1"/>
    <col min="12291" max="12294" width="12.453125" style="53" bestFit="1" customWidth="1"/>
    <col min="12295" max="12295" width="11.7265625" style="53" bestFit="1" customWidth="1"/>
    <col min="12296" max="12544" width="9.1796875" style="53"/>
    <col min="12545" max="12545" width="37.26953125" style="53" customWidth="1"/>
    <col min="12546" max="12546" width="18.453125" style="53" bestFit="1" customWidth="1"/>
    <col min="12547" max="12550" width="12.453125" style="53" bestFit="1" customWidth="1"/>
    <col min="12551" max="12551" width="11.7265625" style="53" bestFit="1" customWidth="1"/>
    <col min="12552" max="12800" width="9.1796875" style="53"/>
    <col min="12801" max="12801" width="37.26953125" style="53" customWidth="1"/>
    <col min="12802" max="12802" width="18.453125" style="53" bestFit="1" customWidth="1"/>
    <col min="12803" max="12806" width="12.453125" style="53" bestFit="1" customWidth="1"/>
    <col min="12807" max="12807" width="11.7265625" style="53" bestFit="1" customWidth="1"/>
    <col min="12808" max="13056" width="9.1796875" style="53"/>
    <col min="13057" max="13057" width="37.26953125" style="53" customWidth="1"/>
    <col min="13058" max="13058" width="18.453125" style="53" bestFit="1" customWidth="1"/>
    <col min="13059" max="13062" width="12.453125" style="53" bestFit="1" customWidth="1"/>
    <col min="13063" max="13063" width="11.7265625" style="53" bestFit="1" customWidth="1"/>
    <col min="13064" max="13312" width="9.1796875" style="53"/>
    <col min="13313" max="13313" width="37.26953125" style="53" customWidth="1"/>
    <col min="13314" max="13314" width="18.453125" style="53" bestFit="1" customWidth="1"/>
    <col min="13315" max="13318" width="12.453125" style="53" bestFit="1" customWidth="1"/>
    <col min="13319" max="13319" width="11.7265625" style="53" bestFit="1" customWidth="1"/>
    <col min="13320" max="13568" width="9.1796875" style="53"/>
    <col min="13569" max="13569" width="37.26953125" style="53" customWidth="1"/>
    <col min="13570" max="13570" width="18.453125" style="53" bestFit="1" customWidth="1"/>
    <col min="13571" max="13574" width="12.453125" style="53" bestFit="1" customWidth="1"/>
    <col min="13575" max="13575" width="11.7265625" style="53" bestFit="1" customWidth="1"/>
    <col min="13576" max="13824" width="9.1796875" style="53"/>
    <col min="13825" max="13825" width="37.26953125" style="53" customWidth="1"/>
    <col min="13826" max="13826" width="18.453125" style="53" bestFit="1" customWidth="1"/>
    <col min="13827" max="13830" width="12.453125" style="53" bestFit="1" customWidth="1"/>
    <col min="13831" max="13831" width="11.7265625" style="53" bestFit="1" customWidth="1"/>
    <col min="13832" max="14080" width="9.1796875" style="53"/>
    <col min="14081" max="14081" width="37.26953125" style="53" customWidth="1"/>
    <col min="14082" max="14082" width="18.453125" style="53" bestFit="1" customWidth="1"/>
    <col min="14083" max="14086" width="12.453125" style="53" bestFit="1" customWidth="1"/>
    <col min="14087" max="14087" width="11.7265625" style="53" bestFit="1" customWidth="1"/>
    <col min="14088" max="14336" width="9.1796875" style="53"/>
    <col min="14337" max="14337" width="37.26953125" style="53" customWidth="1"/>
    <col min="14338" max="14338" width="18.453125" style="53" bestFit="1" customWidth="1"/>
    <col min="14339" max="14342" width="12.453125" style="53" bestFit="1" customWidth="1"/>
    <col min="14343" max="14343" width="11.7265625" style="53" bestFit="1" customWidth="1"/>
    <col min="14344" max="14592" width="9.1796875" style="53"/>
    <col min="14593" max="14593" width="37.26953125" style="53" customWidth="1"/>
    <col min="14594" max="14594" width="18.453125" style="53" bestFit="1" customWidth="1"/>
    <col min="14595" max="14598" width="12.453125" style="53" bestFit="1" customWidth="1"/>
    <col min="14599" max="14599" width="11.7265625" style="53" bestFit="1" customWidth="1"/>
    <col min="14600" max="14848" width="9.1796875" style="53"/>
    <col min="14849" max="14849" width="37.26953125" style="53" customWidth="1"/>
    <col min="14850" max="14850" width="18.453125" style="53" bestFit="1" customWidth="1"/>
    <col min="14851" max="14854" width="12.453125" style="53" bestFit="1" customWidth="1"/>
    <col min="14855" max="14855" width="11.7265625" style="53" bestFit="1" customWidth="1"/>
    <col min="14856" max="15104" width="9.1796875" style="53"/>
    <col min="15105" max="15105" width="37.26953125" style="53" customWidth="1"/>
    <col min="15106" max="15106" width="18.453125" style="53" bestFit="1" customWidth="1"/>
    <col min="15107" max="15110" width="12.453125" style="53" bestFit="1" customWidth="1"/>
    <col min="15111" max="15111" width="11.7265625" style="53" bestFit="1" customWidth="1"/>
    <col min="15112" max="15360" width="9.1796875" style="53"/>
    <col min="15361" max="15361" width="37.26953125" style="53" customWidth="1"/>
    <col min="15362" max="15362" width="18.453125" style="53" bestFit="1" customWidth="1"/>
    <col min="15363" max="15366" width="12.453125" style="53" bestFit="1" customWidth="1"/>
    <col min="15367" max="15367" width="11.7265625" style="53" bestFit="1" customWidth="1"/>
    <col min="15368" max="15616" width="9.1796875" style="53"/>
    <col min="15617" max="15617" width="37.26953125" style="53" customWidth="1"/>
    <col min="15618" max="15618" width="18.453125" style="53" bestFit="1" customWidth="1"/>
    <col min="15619" max="15622" width="12.453125" style="53" bestFit="1" customWidth="1"/>
    <col min="15623" max="15623" width="11.7265625" style="53" bestFit="1" customWidth="1"/>
    <col min="15624" max="15872" width="9.1796875" style="53"/>
    <col min="15873" max="15873" width="37.26953125" style="53" customWidth="1"/>
    <col min="15874" max="15874" width="18.453125" style="53" bestFit="1" customWidth="1"/>
    <col min="15875" max="15878" width="12.453125" style="53" bestFit="1" customWidth="1"/>
    <col min="15879" max="15879" width="11.7265625" style="53" bestFit="1" customWidth="1"/>
    <col min="15880" max="16128" width="9.1796875" style="53"/>
    <col min="16129" max="16129" width="37.26953125" style="53" customWidth="1"/>
    <col min="16130" max="16130" width="18.453125" style="53" bestFit="1" customWidth="1"/>
    <col min="16131" max="16134" width="12.453125" style="53" bestFit="1" customWidth="1"/>
    <col min="16135" max="16135" width="11.7265625" style="53" bestFit="1" customWidth="1"/>
    <col min="16136" max="16384" width="9.1796875" style="53"/>
  </cols>
  <sheetData>
    <row r="1" spans="1:18">
      <c r="A1" s="489"/>
      <c r="B1" s="489"/>
      <c r="C1" s="489"/>
      <c r="D1" s="489"/>
      <c r="E1" s="489"/>
      <c r="F1" s="489"/>
    </row>
    <row r="2" spans="1:18" ht="17.5">
      <c r="A2" s="509" t="s">
        <v>557</v>
      </c>
      <c r="B2" s="475"/>
      <c r="C2" s="475"/>
      <c r="D2" s="475"/>
      <c r="E2" s="475"/>
      <c r="F2" s="475"/>
      <c r="G2" s="475"/>
      <c r="H2" s="475"/>
      <c r="I2" s="81"/>
    </row>
    <row r="3" spans="1:18">
      <c r="A3" s="82"/>
      <c r="B3" s="55"/>
      <c r="C3" s="55"/>
      <c r="D3" s="55"/>
      <c r="E3" s="55"/>
      <c r="F3" s="55"/>
    </row>
    <row r="4" spans="1:18">
      <c r="A4" s="114" t="s">
        <v>0</v>
      </c>
      <c r="B4" s="115" t="s">
        <v>2</v>
      </c>
      <c r="C4" s="115" t="s">
        <v>3</v>
      </c>
      <c r="D4" s="115" t="s">
        <v>4</v>
      </c>
      <c r="E4" s="115" t="s">
        <v>5</v>
      </c>
      <c r="F4" s="115" t="s">
        <v>6</v>
      </c>
      <c r="G4" s="116" t="s">
        <v>169</v>
      </c>
      <c r="H4" s="116" t="s">
        <v>168</v>
      </c>
    </row>
    <row r="5" spans="1:18" s="54" customFormat="1">
      <c r="A5" s="117"/>
      <c r="B5" s="118"/>
      <c r="C5" s="119"/>
      <c r="D5" s="119"/>
      <c r="E5" s="119"/>
      <c r="F5" s="119"/>
      <c r="G5" s="119"/>
      <c r="H5" s="119"/>
    </row>
    <row r="6" spans="1:18">
      <c r="A6" s="120" t="s">
        <v>49</v>
      </c>
      <c r="B6" s="121"/>
      <c r="C6" s="121"/>
      <c r="D6" s="121"/>
      <c r="E6" s="121"/>
      <c r="F6" s="121"/>
      <c r="G6" s="121"/>
      <c r="H6" s="121"/>
    </row>
    <row r="7" spans="1:18">
      <c r="A7" s="122" t="s">
        <v>50</v>
      </c>
      <c r="B7" s="123"/>
      <c r="C7" s="123"/>
      <c r="D7" s="123"/>
      <c r="E7" s="123"/>
      <c r="F7" s="123"/>
      <c r="G7" s="123"/>
      <c r="H7" s="123"/>
    </row>
    <row r="8" spans="1:18">
      <c r="A8" s="124" t="s">
        <v>247</v>
      </c>
      <c r="B8" s="125">
        <f>'8.Cash Flow '!C36</f>
        <v>2907591.56556122</v>
      </c>
      <c r="C8" s="125">
        <f>'8.Cash Flow '!D36</f>
        <v>6194754.9432148486</v>
      </c>
      <c r="D8" s="125">
        <f>'8.Cash Flow '!E36</f>
        <v>9632533.7743605971</v>
      </c>
      <c r="E8" s="125">
        <f>'8.Cash Flow '!F36</f>
        <v>13877373.364429995</v>
      </c>
      <c r="F8" s="125">
        <f>'8.Cash Flow '!G36</f>
        <v>19008866.730762899</v>
      </c>
      <c r="G8" s="125">
        <f>'8.Cash Flow '!H36</f>
        <v>28034748.663967326</v>
      </c>
      <c r="H8" s="125">
        <f>'8.Cash Flow '!I36</f>
        <v>38081049.385331258</v>
      </c>
      <c r="K8" s="67"/>
      <c r="L8" s="67"/>
      <c r="M8" s="67"/>
      <c r="N8" s="67"/>
      <c r="O8" s="67"/>
      <c r="P8" s="67"/>
      <c r="Q8" s="67"/>
      <c r="R8" s="67"/>
    </row>
    <row r="9" spans="1:18">
      <c r="A9" s="126" t="s">
        <v>248</v>
      </c>
      <c r="B9" s="127">
        <f>'5.Closing Stock &amp; W Capital'!E42</f>
        <v>2288132.6520547946</v>
      </c>
      <c r="C9" s="127">
        <f>'5.Closing Stock &amp; W Capital'!F42</f>
        <v>2745912.1092123287</v>
      </c>
      <c r="D9" s="127">
        <f>'5.Closing Stock &amp; W Capital'!G42</f>
        <v>3201527.8955804794</v>
      </c>
      <c r="E9" s="127">
        <f>'5.Closing Stock &amp; W Capital'!H42</f>
        <v>3695840.4803124149</v>
      </c>
      <c r="F9" s="127">
        <f>'5.Closing Stock &amp; W Capital'!I42</f>
        <v>4231580.5037785936</v>
      </c>
      <c r="G9" s="127">
        <f>'5.Closing Stock &amp; W Capital'!J42</f>
        <v>4808130.2932810187</v>
      </c>
      <c r="H9" s="127">
        <f>'5.Closing Stock &amp; W Capital'!K42</f>
        <v>5431756.1104742382</v>
      </c>
      <c r="K9" s="67"/>
      <c r="L9" s="67"/>
      <c r="M9" s="67"/>
      <c r="N9" s="67"/>
      <c r="O9" s="67"/>
      <c r="P9" s="67"/>
      <c r="Q9" s="67"/>
      <c r="R9" s="67"/>
    </row>
    <row r="10" spans="1:18">
      <c r="A10" s="126" t="s">
        <v>596</v>
      </c>
      <c r="B10" s="127">
        <f>'5.Closing Stock &amp; W Capital'!E21</f>
        <v>1084766.6108053334</v>
      </c>
      <c r="C10" s="127">
        <f>'5.Closing Stock &amp; W Capital'!F21</f>
        <v>1281380.5590138</v>
      </c>
      <c r="D10" s="127">
        <f>'5.Closing Stock &amp; W Capital'!G21</f>
        <v>1494943.9855161002</v>
      </c>
      <c r="E10" s="127">
        <f>'5.Closing Stock &amp; W Capital'!H21</f>
        <v>1726660.3032710957</v>
      </c>
      <c r="F10" s="127">
        <f>'5.Closing Stock &amp; W Capital'!I21</f>
        <v>1977810.8928378008</v>
      </c>
      <c r="G10" s="127">
        <f>'5.Closing Stock &amp; W Capital'!J21</f>
        <v>2249759.890602998</v>
      </c>
      <c r="H10" s="127">
        <f>'5.Closing Stock &amp; W Capital'!K21</f>
        <v>2543959.2609126219</v>
      </c>
      <c r="K10" s="67"/>
      <c r="L10" s="67"/>
      <c r="M10" s="67"/>
      <c r="N10" s="67"/>
      <c r="O10" s="67"/>
      <c r="P10" s="67"/>
      <c r="Q10" s="67"/>
      <c r="R10" s="67"/>
    </row>
    <row r="11" spans="1:18">
      <c r="A11" s="122" t="s">
        <v>249</v>
      </c>
      <c r="B11" s="125">
        <f t="shared" ref="B11:H11" si="0">SUM(B8:B10)</f>
        <v>6280490.8284213478</v>
      </c>
      <c r="C11" s="125">
        <f t="shared" si="0"/>
        <v>10222047.611440977</v>
      </c>
      <c r="D11" s="125">
        <f t="shared" si="0"/>
        <v>14329005.655457176</v>
      </c>
      <c r="E11" s="125">
        <f t="shared" si="0"/>
        <v>19299874.148013506</v>
      </c>
      <c r="F11" s="125">
        <f t="shared" si="0"/>
        <v>25218258.127379291</v>
      </c>
      <c r="G11" s="125">
        <f t="shared" si="0"/>
        <v>35092638.847851343</v>
      </c>
      <c r="H11" s="125">
        <f t="shared" si="0"/>
        <v>46056764.756718114</v>
      </c>
    </row>
    <row r="12" spans="1:18">
      <c r="A12" s="122"/>
      <c r="B12" s="127"/>
      <c r="C12" s="127"/>
      <c r="D12" s="127"/>
      <c r="E12" s="127"/>
      <c r="F12" s="127"/>
      <c r="G12" s="127"/>
      <c r="H12" s="127"/>
      <c r="J12" s="67"/>
      <c r="K12" s="67"/>
      <c r="L12" s="67"/>
      <c r="M12" s="67"/>
      <c r="N12" s="67"/>
      <c r="O12" s="67"/>
      <c r="P12" s="67"/>
      <c r="Q12" s="67"/>
    </row>
    <row r="13" spans="1:18">
      <c r="A13" s="128" t="s">
        <v>250</v>
      </c>
      <c r="B13" s="127">
        <f>'3.Other Exp &amp; Taxes'!C65</f>
        <v>29720787</v>
      </c>
      <c r="C13" s="127">
        <f>'3.Other Exp &amp; Taxes'!D65</f>
        <v>28663602.676100001</v>
      </c>
      <c r="D13" s="127">
        <f>'3.Other Exp &amp; Taxes'!E65</f>
        <v>27606418.352199998</v>
      </c>
      <c r="E13" s="127">
        <f>'3.Other Exp &amp; Taxes'!F65</f>
        <v>26549234.028299998</v>
      </c>
      <c r="F13" s="127">
        <f>'3.Other Exp &amp; Taxes'!G65</f>
        <v>25492049.704399996</v>
      </c>
      <c r="G13" s="127">
        <f>'3.Other Exp &amp; Taxes'!H65</f>
        <v>24434865.380499996</v>
      </c>
      <c r="H13" s="127">
        <f>'3.Other Exp &amp; Taxes'!I65</f>
        <v>23377681.056599997</v>
      </c>
    </row>
    <row r="14" spans="1:18">
      <c r="A14" s="128" t="s">
        <v>251</v>
      </c>
      <c r="B14" s="127">
        <f>'3.Other Exp &amp; Taxes'!C66</f>
        <v>1057184.3239</v>
      </c>
      <c r="C14" s="127">
        <f>'3.Other Exp &amp; Taxes'!D66</f>
        <v>1057184.3239</v>
      </c>
      <c r="D14" s="127">
        <f>'3.Other Exp &amp; Taxes'!E66</f>
        <v>1057184.3239</v>
      </c>
      <c r="E14" s="127">
        <f>'3.Other Exp &amp; Taxes'!F66</f>
        <v>1057184.3239</v>
      </c>
      <c r="F14" s="127">
        <f>'3.Other Exp &amp; Taxes'!G66</f>
        <v>1057184.3239</v>
      </c>
      <c r="G14" s="127">
        <f>'3.Other Exp &amp; Taxes'!H66</f>
        <v>1057184.3239</v>
      </c>
      <c r="H14" s="127">
        <f>'3.Other Exp &amp; Taxes'!I66</f>
        <v>1057184.3239</v>
      </c>
      <c r="K14" s="67"/>
      <c r="L14" s="67"/>
      <c r="M14" s="67"/>
      <c r="N14" s="67"/>
      <c r="O14" s="67"/>
      <c r="P14" s="67"/>
      <c r="Q14" s="67"/>
    </row>
    <row r="15" spans="1:18" s="55" customFormat="1">
      <c r="A15" s="122" t="s">
        <v>198</v>
      </c>
      <c r="B15" s="125">
        <f t="shared" ref="B15:H15" si="1">B13-B14</f>
        <v>28663602.676100001</v>
      </c>
      <c r="C15" s="125">
        <f t="shared" si="1"/>
        <v>27606418.352200001</v>
      </c>
      <c r="D15" s="125">
        <f t="shared" si="1"/>
        <v>26549234.028299998</v>
      </c>
      <c r="E15" s="125">
        <f t="shared" si="1"/>
        <v>25492049.704399999</v>
      </c>
      <c r="F15" s="125">
        <f t="shared" si="1"/>
        <v>24434865.380499996</v>
      </c>
      <c r="G15" s="125">
        <f t="shared" si="1"/>
        <v>23377681.056599997</v>
      </c>
      <c r="H15" s="125">
        <f t="shared" si="1"/>
        <v>22320496.732699998</v>
      </c>
    </row>
    <row r="16" spans="1:18" s="55" customFormat="1">
      <c r="A16" s="122"/>
      <c r="B16" s="125"/>
      <c r="C16" s="125"/>
      <c r="D16" s="125"/>
      <c r="E16" s="125"/>
      <c r="F16" s="125"/>
      <c r="G16" s="125"/>
      <c r="H16" s="125"/>
    </row>
    <row r="17" spans="1:8" s="55" customFormat="1">
      <c r="A17" s="129"/>
      <c r="B17" s="125"/>
      <c r="C17" s="125"/>
      <c r="D17" s="125"/>
      <c r="E17" s="125"/>
      <c r="F17" s="125"/>
      <c r="G17" s="125"/>
      <c r="H17" s="125"/>
    </row>
    <row r="18" spans="1:8" s="55" customFormat="1">
      <c r="A18" s="122" t="s">
        <v>507</v>
      </c>
      <c r="B18" s="125">
        <f>'8.Cash Flow '!C21-'6.Cons Profit &amp; Loss'!B43</f>
        <v>96000</v>
      </c>
      <c r="C18" s="125">
        <f>B18-'6.Cons Profit &amp; Loss'!C43</f>
        <v>72000</v>
      </c>
      <c r="D18" s="125">
        <f>C18-'6.Cons Profit &amp; Loss'!D43</f>
        <v>48000</v>
      </c>
      <c r="E18" s="125">
        <f>D18-'6.Cons Profit &amp; Loss'!E43</f>
        <v>24000</v>
      </c>
      <c r="F18" s="125">
        <f>E18-'6.Cons Profit &amp; Loss'!F43</f>
        <v>0</v>
      </c>
      <c r="G18" s="125">
        <f>F18-'6.Cons Profit &amp; Loss'!G43</f>
        <v>0</v>
      </c>
      <c r="H18" s="125">
        <f>G18-'6.Cons Profit &amp; Loss'!H43</f>
        <v>0</v>
      </c>
    </row>
    <row r="19" spans="1:8">
      <c r="A19" s="128"/>
      <c r="B19" s="127"/>
      <c r="C19" s="127"/>
      <c r="D19" s="127"/>
      <c r="E19" s="127"/>
      <c r="F19" s="127"/>
      <c r="G19" s="127"/>
      <c r="H19" s="127"/>
    </row>
    <row r="20" spans="1:8">
      <c r="A20" s="129" t="s">
        <v>253</v>
      </c>
      <c r="B20" s="130">
        <f t="shared" ref="B20:H20" si="2">B11+B15+B17+B18</f>
        <v>35040093.504521348</v>
      </c>
      <c r="C20" s="130">
        <f t="shared" si="2"/>
        <v>37900465.96364098</v>
      </c>
      <c r="D20" s="130">
        <f t="shared" si="2"/>
        <v>40926239.683757171</v>
      </c>
      <c r="E20" s="130">
        <f t="shared" si="2"/>
        <v>44815923.852413505</v>
      </c>
      <c r="F20" s="130">
        <f t="shared" si="2"/>
        <v>49653123.507879287</v>
      </c>
      <c r="G20" s="130">
        <f t="shared" si="2"/>
        <v>58470319.90445134</v>
      </c>
      <c r="H20" s="130">
        <f t="shared" si="2"/>
        <v>68377261.489418119</v>
      </c>
    </row>
    <row r="21" spans="1:8">
      <c r="A21" s="117"/>
      <c r="B21" s="131"/>
      <c r="C21" s="131"/>
      <c r="D21" s="131"/>
      <c r="E21" s="131"/>
      <c r="F21" s="131"/>
      <c r="G21" s="131"/>
      <c r="H21" s="131"/>
    </row>
    <row r="22" spans="1:8">
      <c r="A22" s="120" t="s">
        <v>254</v>
      </c>
      <c r="B22" s="132"/>
      <c r="C22" s="132"/>
      <c r="D22" s="132"/>
      <c r="E22" s="132"/>
      <c r="F22" s="132"/>
      <c r="G22" s="132"/>
      <c r="H22" s="132"/>
    </row>
    <row r="23" spans="1:8">
      <c r="A23" s="122" t="s">
        <v>255</v>
      </c>
      <c r="B23" s="132"/>
      <c r="C23" s="132"/>
      <c r="D23" s="132"/>
      <c r="E23" s="132"/>
      <c r="F23" s="132"/>
      <c r="G23" s="132"/>
      <c r="H23" s="132"/>
    </row>
    <row r="24" spans="1:8">
      <c r="A24" s="126" t="s">
        <v>256</v>
      </c>
      <c r="B24" s="125">
        <f>'5.Closing Stock &amp; W Capital'!E56-'5.Closing Stock &amp; W Capital'!E57</f>
        <v>1740512.7064974247</v>
      </c>
      <c r="C24" s="125">
        <f>'5.Closing Stock &amp; W Capital'!F56-'5.Closing Stock &amp; W Capital'!F57</f>
        <v>2785796.6801307038</v>
      </c>
      <c r="D24" s="125">
        <f>'5.Closing Stock &amp; W Capital'!G56-'5.Closing Stock &amp; W Capital'!G57</f>
        <v>3249398.0648482637</v>
      </c>
      <c r="E24" s="125">
        <f>'5.Closing Stock &amp; W Capital'!H56-'5.Closing Stock &amp; W Capital'!H57</f>
        <v>3752395.0963372542</v>
      </c>
      <c r="F24" s="125">
        <f>'5.Closing Stock &amp; W Capital'!I56-'5.Closing Stock &amp; W Capital'!I57</f>
        <v>4297568.3358130241</v>
      </c>
      <c r="G24" s="125">
        <f>'5.Closing Stock &amp; W Capital'!J56-'5.Closing Stock &amp; W Capital'!J57</f>
        <v>4884529.5081414171</v>
      </c>
      <c r="H24" s="125">
        <f>'5.Closing Stock &amp; W Capital'!K56-'5.Closing Stock &amp; W Capital'!K57</f>
        <v>5519442.8768631127</v>
      </c>
    </row>
    <row r="25" spans="1:8">
      <c r="A25" s="126" t="s">
        <v>257</v>
      </c>
      <c r="B25" s="131">
        <f>'5.Closing Stock &amp; W Capital'!E55</f>
        <v>1052215.654196895</v>
      </c>
      <c r="C25" s="131">
        <f>'5.Closing Stock &amp; W Capital'!F55</f>
        <v>1241495.9880954246</v>
      </c>
      <c r="D25" s="131">
        <f>'5.Closing Stock &amp; W Capital'!G55</f>
        <v>1447073.8162483154</v>
      </c>
      <c r="E25" s="131">
        <f>'5.Closing Stock &amp; W Capital'!H55</f>
        <v>1670105.6872462563</v>
      </c>
      <c r="F25" s="131">
        <f>'5.Closing Stock &amp; W Capital'!I55</f>
        <v>1911823.0608033706</v>
      </c>
      <c r="G25" s="131">
        <f>'5.Closing Stock &amp; W Capital'!J55</f>
        <v>2173360.6757426006</v>
      </c>
      <c r="H25" s="131">
        <f>'5.Closing Stock &amp; W Capital'!K55</f>
        <v>2456272.4945237464</v>
      </c>
    </row>
    <row r="26" spans="1:8" s="54" customFormat="1">
      <c r="A26" s="126" t="s">
        <v>258</v>
      </c>
      <c r="B26" s="125"/>
      <c r="C26" s="125"/>
      <c r="D26" s="125"/>
      <c r="E26" s="125"/>
      <c r="F26" s="125"/>
      <c r="G26" s="125"/>
      <c r="H26" s="125"/>
    </row>
    <row r="27" spans="1:8" s="54" customFormat="1">
      <c r="A27" s="122" t="s">
        <v>259</v>
      </c>
      <c r="B27" s="130">
        <f t="shared" ref="B27:H27" si="3">SUM(B24:B26)</f>
        <v>2792728.3606943199</v>
      </c>
      <c r="C27" s="130">
        <f t="shared" si="3"/>
        <v>4027292.6682261284</v>
      </c>
      <c r="D27" s="130">
        <f t="shared" si="3"/>
        <v>4696471.8810965791</v>
      </c>
      <c r="E27" s="130">
        <f t="shared" si="3"/>
        <v>5422500.7835835107</v>
      </c>
      <c r="F27" s="130">
        <f t="shared" si="3"/>
        <v>6209391.3966163946</v>
      </c>
      <c r="G27" s="130">
        <f t="shared" si="3"/>
        <v>7057890.1838840172</v>
      </c>
      <c r="H27" s="130">
        <f t="shared" si="3"/>
        <v>7975715.3713868596</v>
      </c>
    </row>
    <row r="28" spans="1:8" s="54" customFormat="1">
      <c r="A28" s="122" t="s">
        <v>260</v>
      </c>
      <c r="B28" s="130">
        <f>'4.TL repayment sch'!G21</f>
        <v>9541093.0724616386</v>
      </c>
      <c r="C28" s="130">
        <f>'4.TL repayment sch'!G33</f>
        <v>7564618.2692526262</v>
      </c>
      <c r="D28" s="130">
        <f>'4.TL repayment sch'!G45</f>
        <v>5337476.9895715509</v>
      </c>
      <c r="E28" s="130">
        <f>'4.TL repayment sch'!G57</f>
        <v>2827878.4499867684</v>
      </c>
      <c r="F28" s="130">
        <f>'4.TL repayment sch'!G69</f>
        <v>-3.2014213502407074E-10</v>
      </c>
      <c r="G28" s="130">
        <f>'4.TL repayment sch'!G81</f>
        <v>0</v>
      </c>
      <c r="H28" s="130">
        <f>'[5]Term Loan'!J72+'[5]Term Loan'!S72</f>
        <v>0</v>
      </c>
    </row>
    <row r="29" spans="1:8" s="54" customFormat="1">
      <c r="A29" s="122" t="s">
        <v>261</v>
      </c>
      <c r="B29" s="130"/>
      <c r="C29" s="130"/>
      <c r="D29" s="130"/>
      <c r="E29" s="130"/>
      <c r="F29" s="130"/>
      <c r="G29" s="130"/>
      <c r="H29" s="130"/>
    </row>
    <row r="30" spans="1:8" s="54" customFormat="1">
      <c r="A30" s="122"/>
      <c r="B30" s="133"/>
      <c r="C30" s="133"/>
      <c r="D30" s="133"/>
      <c r="E30" s="133"/>
      <c r="F30" s="133"/>
      <c r="G30" s="133"/>
      <c r="H30" s="133"/>
    </row>
    <row r="31" spans="1:8">
      <c r="A31" s="129" t="s">
        <v>262</v>
      </c>
      <c r="B31" s="130">
        <f t="shared" ref="B31:H31" si="4">SUM(B27:B29)</f>
        <v>12333821.433155958</v>
      </c>
      <c r="C31" s="130">
        <f t="shared" si="4"/>
        <v>11591910.937478755</v>
      </c>
      <c r="D31" s="130">
        <f t="shared" si="4"/>
        <v>10033948.87066813</v>
      </c>
      <c r="E31" s="130">
        <f t="shared" si="4"/>
        <v>8250379.2335702796</v>
      </c>
      <c r="F31" s="130">
        <f t="shared" si="4"/>
        <v>6209391.3966163946</v>
      </c>
      <c r="G31" s="130">
        <f t="shared" si="4"/>
        <v>7057890.1838840172</v>
      </c>
      <c r="H31" s="130">
        <f t="shared" si="4"/>
        <v>7975715.3713868596</v>
      </c>
    </row>
    <row r="32" spans="1:8">
      <c r="A32" s="117"/>
      <c r="B32" s="134"/>
      <c r="C32" s="134"/>
      <c r="D32" s="134"/>
      <c r="E32" s="134"/>
      <c r="F32" s="134"/>
      <c r="G32" s="134"/>
      <c r="H32" s="134"/>
    </row>
    <row r="33" spans="1:8">
      <c r="A33" s="128" t="s">
        <v>263</v>
      </c>
      <c r="B33" s="127">
        <f>'1.Project Cost and MOF'!E21</f>
        <v>2072210.2521658083</v>
      </c>
      <c r="C33" s="127">
        <f>B33</f>
        <v>2072210.2521658083</v>
      </c>
      <c r="D33" s="127">
        <f t="shared" ref="D33:H34" si="5">C33</f>
        <v>2072210.2521658083</v>
      </c>
      <c r="E33" s="127">
        <f t="shared" si="5"/>
        <v>2072210.2521658083</v>
      </c>
      <c r="F33" s="127">
        <f t="shared" si="5"/>
        <v>2072210.2521658083</v>
      </c>
      <c r="G33" s="127">
        <f t="shared" si="5"/>
        <v>2072210.2521658083</v>
      </c>
      <c r="H33" s="127">
        <f t="shared" si="5"/>
        <v>2072210.2521658083</v>
      </c>
    </row>
    <row r="34" spans="1:8">
      <c r="A34" s="128" t="s">
        <v>508</v>
      </c>
      <c r="B34" s="127">
        <f>'1.Project Cost and MOF'!E19</f>
        <v>17904472.199999999</v>
      </c>
      <c r="C34" s="127">
        <f>B34</f>
        <v>17904472.199999999</v>
      </c>
      <c r="D34" s="127">
        <f t="shared" si="5"/>
        <v>17904472.199999999</v>
      </c>
      <c r="E34" s="127">
        <f t="shared" si="5"/>
        <v>17904472.199999999</v>
      </c>
      <c r="F34" s="127">
        <f t="shared" si="5"/>
        <v>17904472.199999999</v>
      </c>
      <c r="G34" s="127">
        <f t="shared" si="5"/>
        <v>17904472.199999999</v>
      </c>
      <c r="H34" s="127">
        <f t="shared" si="5"/>
        <v>17904472.199999999</v>
      </c>
    </row>
    <row r="35" spans="1:8">
      <c r="A35" s="122" t="s">
        <v>264</v>
      </c>
      <c r="B35" s="127"/>
      <c r="C35" s="127"/>
      <c r="D35" s="127"/>
      <c r="E35" s="127"/>
      <c r="F35" s="127"/>
      <c r="G35" s="127"/>
      <c r="H35" s="127"/>
    </row>
    <row r="36" spans="1:8">
      <c r="A36" s="128" t="s">
        <v>265</v>
      </c>
      <c r="B36" s="127">
        <v>0</v>
      </c>
      <c r="C36" s="127">
        <f t="shared" ref="C36:H36" si="6">B39</f>
        <v>2729589.61919958</v>
      </c>
      <c r="D36" s="127">
        <f t="shared" si="6"/>
        <v>6331872.5739964209</v>
      </c>
      <c r="E36" s="127">
        <f t="shared" si="6"/>
        <v>10915608.360923249</v>
      </c>
      <c r="F36" s="127">
        <f t="shared" si="6"/>
        <v>16588862.166677454</v>
      </c>
      <c r="G36" s="127">
        <f t="shared" si="6"/>
        <v>23467049.659097124</v>
      </c>
      <c r="H36" s="127">
        <f t="shared" si="6"/>
        <v>31435747.268401556</v>
      </c>
    </row>
    <row r="37" spans="1:8">
      <c r="A37" s="128" t="s">
        <v>266</v>
      </c>
      <c r="B37" s="127">
        <f>'6.Cons Profit &amp; Loss'!B53</f>
        <v>2729589.61919958</v>
      </c>
      <c r="C37" s="127">
        <f>'6.Cons Profit &amp; Loss'!C51</f>
        <v>3602282.9547968404</v>
      </c>
      <c r="D37" s="127">
        <f>'6.Cons Profit &amp; Loss'!D51</f>
        <v>4583735.7869268283</v>
      </c>
      <c r="E37" s="127">
        <f>'6.Cons Profit &amp; Loss'!E51</f>
        <v>5673253.8057542052</v>
      </c>
      <c r="F37" s="127">
        <f>'6.Cons Profit &amp; Loss'!F51</f>
        <v>6878187.4924196703</v>
      </c>
      <c r="G37" s="127">
        <f>'6.Cons Profit &amp; Loss'!G51</f>
        <v>7968697.6093044318</v>
      </c>
      <c r="H37" s="127">
        <f>'6.Cons Profit &amp; Loss'!H51</f>
        <v>8989116.3974639475</v>
      </c>
    </row>
    <row r="38" spans="1:8">
      <c r="A38" s="128" t="s">
        <v>267</v>
      </c>
      <c r="B38" s="127"/>
      <c r="C38" s="127"/>
      <c r="D38" s="127"/>
      <c r="E38" s="127"/>
      <c r="F38" s="127"/>
      <c r="G38" s="127"/>
      <c r="H38" s="127"/>
    </row>
    <row r="39" spans="1:8">
      <c r="A39" s="128" t="s">
        <v>268</v>
      </c>
      <c r="B39" s="127">
        <f t="shared" ref="B39:H39" si="7">B36+B37-B38</f>
        <v>2729589.61919958</v>
      </c>
      <c r="C39" s="127">
        <f t="shared" si="7"/>
        <v>6331872.5739964209</v>
      </c>
      <c r="D39" s="127">
        <f t="shared" si="7"/>
        <v>10915608.360923249</v>
      </c>
      <c r="E39" s="127">
        <f t="shared" si="7"/>
        <v>16588862.166677454</v>
      </c>
      <c r="F39" s="127">
        <f t="shared" si="7"/>
        <v>23467049.659097124</v>
      </c>
      <c r="G39" s="127">
        <f t="shared" si="7"/>
        <v>31435747.268401556</v>
      </c>
      <c r="H39" s="127">
        <f t="shared" si="7"/>
        <v>40424863.665865503</v>
      </c>
    </row>
    <row r="40" spans="1:8">
      <c r="A40" s="128"/>
      <c r="B40" s="132"/>
      <c r="C40" s="132"/>
      <c r="D40" s="132"/>
      <c r="E40" s="132"/>
      <c r="F40" s="132"/>
      <c r="G40" s="132"/>
      <c r="H40" s="132"/>
    </row>
    <row r="41" spans="1:8">
      <c r="A41" s="135" t="s">
        <v>269</v>
      </c>
      <c r="B41" s="136">
        <f t="shared" ref="B41:H41" si="8">B33+B39+B34</f>
        <v>22706272.071365386</v>
      </c>
      <c r="C41" s="136">
        <f t="shared" si="8"/>
        <v>26308555.026162229</v>
      </c>
      <c r="D41" s="136">
        <f t="shared" si="8"/>
        <v>30892290.813089058</v>
      </c>
      <c r="E41" s="136">
        <f t="shared" si="8"/>
        <v>36565544.618843257</v>
      </c>
      <c r="F41" s="136">
        <f t="shared" si="8"/>
        <v>43443732.111262932</v>
      </c>
      <c r="G41" s="136">
        <f t="shared" si="8"/>
        <v>51412429.720567361</v>
      </c>
      <c r="H41" s="136">
        <f t="shared" si="8"/>
        <v>60401546.118031308</v>
      </c>
    </row>
    <row r="42" spans="1:8">
      <c r="A42" s="117"/>
      <c r="B42" s="127"/>
      <c r="C42" s="127"/>
      <c r="D42" s="127"/>
      <c r="E42" s="127"/>
      <c r="F42" s="127"/>
      <c r="G42" s="127"/>
      <c r="H42" s="127"/>
    </row>
    <row r="43" spans="1:8">
      <c r="A43" s="129" t="s">
        <v>270</v>
      </c>
      <c r="B43" s="130">
        <f t="shared" ref="B43:H43" si="9">B31+B41</f>
        <v>35040093.50452134</v>
      </c>
      <c r="C43" s="130">
        <f t="shared" si="9"/>
        <v>37900465.963640988</v>
      </c>
      <c r="D43" s="130">
        <f t="shared" si="9"/>
        <v>40926239.683757186</v>
      </c>
      <c r="E43" s="130">
        <f t="shared" si="9"/>
        <v>44815923.852413535</v>
      </c>
      <c r="F43" s="130">
        <f t="shared" si="9"/>
        <v>49653123.507879324</v>
      </c>
      <c r="G43" s="130">
        <f t="shared" si="9"/>
        <v>58470319.904451378</v>
      </c>
      <c r="H43" s="130">
        <f t="shared" si="9"/>
        <v>68377261.489418164</v>
      </c>
    </row>
    <row r="44" spans="1:8">
      <c r="A44" s="117"/>
      <c r="B44" s="137"/>
      <c r="C44" s="137"/>
      <c r="D44" s="137"/>
      <c r="E44" s="137"/>
      <c r="F44" s="137"/>
      <c r="G44" s="137"/>
      <c r="H44" s="137"/>
    </row>
    <row r="45" spans="1:8">
      <c r="A45" s="138" t="s">
        <v>271</v>
      </c>
      <c r="B45" s="139"/>
      <c r="C45" s="139"/>
      <c r="D45" s="139"/>
      <c r="E45" s="139"/>
      <c r="F45" s="139"/>
      <c r="G45" s="139"/>
      <c r="H45" s="139"/>
    </row>
    <row r="46" spans="1:8">
      <c r="A46" s="140" t="s">
        <v>272</v>
      </c>
      <c r="B46" s="141">
        <f t="shared" ref="B46:H46" si="10">B43-B20</f>
        <v>0</v>
      </c>
      <c r="C46" s="141">
        <f t="shared" si="10"/>
        <v>0</v>
      </c>
      <c r="D46" s="141">
        <f t="shared" si="10"/>
        <v>0</v>
      </c>
      <c r="E46" s="141">
        <f t="shared" si="10"/>
        <v>0</v>
      </c>
      <c r="F46" s="141">
        <f t="shared" si="10"/>
        <v>0</v>
      </c>
      <c r="G46" s="141">
        <f t="shared" si="10"/>
        <v>0</v>
      </c>
      <c r="H46" s="141">
        <f t="shared" si="10"/>
        <v>0</v>
      </c>
    </row>
    <row r="47" spans="1:8">
      <c r="A47" s="140"/>
      <c r="B47" s="141"/>
      <c r="C47" s="141"/>
      <c r="D47" s="141"/>
      <c r="E47" s="141"/>
      <c r="F47" s="141"/>
      <c r="G47" s="141"/>
      <c r="H47" s="141"/>
    </row>
    <row r="48" spans="1:8" ht="15" thickBot="1">
      <c r="A48" s="142"/>
      <c r="B48" s="143"/>
      <c r="C48" s="143"/>
      <c r="D48" s="143"/>
      <c r="E48" s="143"/>
      <c r="F48" s="143"/>
      <c r="G48" s="143"/>
      <c r="H48" s="143"/>
    </row>
    <row r="49" spans="1:9">
      <c r="B49" s="56"/>
      <c r="C49" s="56"/>
      <c r="D49" s="56"/>
      <c r="E49" s="56"/>
      <c r="F49" s="56"/>
      <c r="G49" s="56"/>
      <c r="H49" s="56"/>
    </row>
    <row r="50" spans="1:9" ht="39.65" customHeight="1">
      <c r="A50" s="510" t="s">
        <v>400</v>
      </c>
      <c r="B50" s="511"/>
      <c r="C50" s="511"/>
      <c r="D50" s="511"/>
      <c r="E50" s="511"/>
      <c r="F50" s="511"/>
      <c r="G50" s="511"/>
      <c r="H50" s="511"/>
      <c r="I50" s="511"/>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17</vt:i4>
      </vt:variant>
    </vt:vector>
  </HeadingPairs>
  <TitlesOfParts>
    <vt:vector size="40" baseType="lpstr">
      <vt:lpstr>Note for users</vt:lpstr>
      <vt:lpstr>1.Project Cost and MOF</vt:lpstr>
      <vt:lpstr>2.Capex Details</vt:lpstr>
      <vt:lpstr>3.Other Exp &amp; Taxes</vt:lpstr>
      <vt:lpstr>Sheet1</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VGF</vt:lpstr>
      <vt:lpstr>Output</vt:lpstr>
      <vt:lpstr>Sheet2</vt:lpstr>
      <vt:lpstr>Sheet3</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2022-08-23T02:30:36Z</dcterms:modified>
</cp:coreProperties>
</file>